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343" yWindow="149" windowWidth="11574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<sst xmlns="http://schemas.openxmlformats.org/spreadsheetml/2006/main" count="163" uniqueCount="112">
  <si>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</si>
  <si>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</si>
  <si>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</si>
  <si>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</si>
  <si>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</si>
  <si>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</si>
  <si>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</si>
  <si>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</si>
  <si>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</si>
  <si>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</si>
  <si>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</si>
  <si>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</si>
  <si>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</si>
  <si>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</si>
  <si>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</si>
  <si>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</si>
  <si>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</si>
  <si>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</si>
  <si>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</si>
  <si>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</si>
  <si>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</si>
  <si>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</si>
  <si>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</si>
  <si>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</si>
  <si>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</si>
  <si>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</si>
  <si>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</si>
  <si>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</si>
  <si>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</si>
  <si>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</si>
  <si>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</si>
  <si>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</si>
  <si>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</si>
  <si>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</si>
  <si>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</si>
  <si>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</si>
  <si>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</si>
  <si>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</si>
  <si>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</si>
  <si>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</si>
  <si>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</si>
  <si>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</si>
  <si>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</si>
  <si>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</si>
  <si>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</si>
  <si>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</si>
  <si>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</si>
  <si>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</si>
  <si>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</si>
  <si>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</si>
  <si>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</si>
  <si>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</si>
  <si>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</si>
  <si>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</si>
  <si>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</si>
  <si>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</si>
  <si>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</si>
  <si>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</si>
  <si>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</si>
  <si>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</si>
  <si>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</si>
  <si>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</si>
  <si>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</si>
  <si>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</si>
  <si>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</si>
  <si>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</si>
  <si>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</si>
  <si>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</si>
  <si>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</si>
  <si>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</si>
  <si>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</si>
  <si>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</si>
  <si>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</si>
  <si>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</si>
  <si>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</si>
  <si>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</si>
  <si>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</si>
  <si>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</si>
  <si>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</si>
  <si>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</si>
  <si>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</si>
  <si>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</si>
  <si>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</si>
  <si>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</si>
  <si>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</si>
  <si>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</si>
  <si>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</si>
  <si>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</si>
  <si>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</si>
  <si>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</si>
  <si>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</si>
  <si>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</si>
  <si>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</si>
  <si>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</si>
  <si>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</si>
  <si>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</si>
  <si>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</si>
  <si>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</si>
  <si>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</si>
  <si>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</si>
  <si>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</si>
  <si>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</si>
  <si>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</si>
  <si>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</si>
  <si>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</si>
  <si>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</si>
  <si>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</si>
  <si>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</si>
  <si>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План на 11 місяців, тис.грн.</t>
  </si>
  <si>
    <t>Відхилення від плану 11місяців, тис.грн.</t>
  </si>
  <si>
    <t>Відсоток виконання плану 11 місяців</t>
  </si>
  <si>
    <t>Аналіз використання коштів загального фонду міського бюджету станом на 15.11.2017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</si>
</sst>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Arial Cyr"/>
      <family val="0"/>
    </font>
    <font>
      <b/>
      <sz val="14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2" fillId="0" borderId="0">
      <alignment/>
      <protection/>
    </xf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3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4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4" borderId="14" xfId="0" applyFont="1" applyFill="1" applyBorder="1" applyAlignment="1">
      <alignment wrapText="1"/>
    </xf>
    <xf numFmtId="190" fontId="5" fillId="34" borderId="14" xfId="0" applyNumberFormat="1" applyFont="1" applyFill="1" applyBorder="1" applyAlignment="1">
      <alignment wrapText="1"/>
    </xf>
    <xf numFmtId="190" fontId="4" fillId="34" borderId="14" xfId="0" applyNumberFormat="1" applyFont="1" applyFill="1" applyBorder="1" applyAlignment="1">
      <alignment/>
    </xf>
    <xf numFmtId="190" fontId="4" fillId="34" borderId="17" xfId="0" applyNumberFormat="1" applyFont="1" applyFill="1" applyBorder="1" applyAlignment="1">
      <alignment/>
    </xf>
    <xf numFmtId="189" fontId="4" fillId="34" borderId="10" xfId="0" applyNumberFormat="1" applyFont="1" applyFill="1" applyBorder="1" applyAlignment="1">
      <alignment/>
    </xf>
    <xf numFmtId="190" fontId="4" fillId="34" borderId="10" xfId="0" applyNumberFormat="1" applyFont="1" applyFill="1" applyBorder="1" applyAlignment="1">
      <alignment/>
    </xf>
    <xf numFmtId="190" fontId="5" fillId="34" borderId="0" xfId="0" applyNumberFormat="1" applyFont="1" applyFill="1" applyAlignment="1">
      <alignment/>
    </xf>
    <xf numFmtId="0" fontId="3" fillId="34" borderId="12" xfId="0" applyFont="1" applyFill="1" applyBorder="1" applyAlignment="1">
      <alignment wrapText="1"/>
    </xf>
    <xf numFmtId="190" fontId="3" fillId="34" borderId="10" xfId="0" applyNumberFormat="1" applyFont="1" applyFill="1" applyBorder="1" applyAlignment="1">
      <alignment wrapText="1"/>
    </xf>
    <xf numFmtId="190" fontId="3" fillId="34" borderId="10" xfId="0" applyNumberFormat="1" applyFont="1" applyFill="1" applyBorder="1" applyAlignment="1">
      <alignment/>
    </xf>
    <xf numFmtId="190" fontId="3" fillId="34" borderId="17" xfId="0" applyNumberFormat="1" applyFont="1" applyFill="1" applyBorder="1" applyAlignment="1">
      <alignment/>
    </xf>
    <xf numFmtId="189" fontId="3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/>
    </xf>
    <xf numFmtId="190" fontId="5" fillId="34" borderId="17" xfId="0" applyNumberFormat="1" applyFont="1" applyFill="1" applyBorder="1" applyAlignment="1">
      <alignment/>
    </xf>
    <xf numFmtId="189" fontId="35" fillId="34" borderId="10" xfId="0" applyNumberFormat="1" applyFont="1" applyFill="1" applyBorder="1" applyAlignment="1">
      <alignment/>
    </xf>
    <xf numFmtId="0" fontId="11" fillId="34" borderId="0" xfId="0" applyFont="1" applyFill="1" applyAlignment="1">
      <alignment/>
    </xf>
    <xf numFmtId="0" fontId="3" fillId="34" borderId="10" xfId="0" applyFont="1" applyFill="1" applyBorder="1" applyAlignment="1">
      <alignment wrapText="1"/>
    </xf>
    <xf numFmtId="189" fontId="5" fillId="34" borderId="1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/>
    </xf>
    <xf numFmtId="189" fontId="34" fillId="34" borderId="1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5" fillId="34" borderId="12" xfId="0" applyFont="1" applyFill="1" applyBorder="1" applyAlignment="1">
      <alignment wrapText="1"/>
    </xf>
    <xf numFmtId="0" fontId="5" fillId="34" borderId="0" xfId="0" applyFont="1" applyFill="1" applyBorder="1" applyAlignment="1">
      <alignment/>
    </xf>
    <xf numFmtId="191" fontId="12" fillId="34" borderId="0" xfId="0" applyNumberFormat="1" applyFont="1" applyFill="1" applyBorder="1" applyAlignment="1">
      <alignment/>
    </xf>
    <xf numFmtId="190" fontId="3" fillId="34" borderId="14" xfId="0" applyNumberFormat="1" applyFont="1" applyFill="1" applyBorder="1" applyAlignment="1">
      <alignment wrapText="1"/>
    </xf>
    <xf numFmtId="190" fontId="3" fillId="34" borderId="14" xfId="0" applyNumberFormat="1" applyFont="1" applyFill="1" applyBorder="1" applyAlignment="1">
      <alignment/>
    </xf>
    <xf numFmtId="189" fontId="3" fillId="34" borderId="14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left" wrapText="1"/>
    </xf>
    <xf numFmtId="0" fontId="3" fillId="34" borderId="16" xfId="0" applyFont="1" applyFill="1" applyBorder="1" applyAlignment="1">
      <alignment wrapText="1"/>
    </xf>
    <xf numFmtId="190" fontId="3" fillId="34" borderId="16" xfId="0" applyNumberFormat="1" applyFont="1" applyFill="1" applyBorder="1" applyAlignment="1">
      <alignment wrapText="1"/>
    </xf>
    <xf numFmtId="189" fontId="3" fillId="34" borderId="16" xfId="0" applyNumberFormat="1" applyFont="1" applyFill="1" applyBorder="1" applyAlignment="1">
      <alignment/>
    </xf>
    <xf numFmtId="190" fontId="3" fillId="34" borderId="16" xfId="0" applyNumberFormat="1" applyFont="1" applyFill="1" applyBorder="1" applyAlignment="1">
      <alignment/>
    </xf>
    <xf numFmtId="190" fontId="3" fillId="34" borderId="12" xfId="0" applyNumberFormat="1" applyFont="1" applyFill="1" applyBorder="1" applyAlignment="1">
      <alignment wrapText="1"/>
    </xf>
    <xf numFmtId="190" fontId="3" fillId="34" borderId="12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3" fillId="34" borderId="22" xfId="0" applyFont="1" applyFill="1" applyBorder="1" applyAlignment="1">
      <alignment wrapText="1"/>
    </xf>
    <xf numFmtId="190" fontId="3" fillId="34" borderId="22" xfId="0" applyNumberFormat="1" applyFont="1" applyFill="1" applyBorder="1" applyAlignment="1">
      <alignment wrapText="1"/>
    </xf>
    <xf numFmtId="190" fontId="3" fillId="34" borderId="23" xfId="0" applyNumberFormat="1" applyFont="1" applyFill="1" applyBorder="1" applyAlignment="1">
      <alignment horizontal="right"/>
    </xf>
    <xf numFmtId="190" fontId="3" fillId="34" borderId="24" xfId="0" applyNumberFormat="1" applyFont="1" applyFill="1" applyBorder="1" applyAlignment="1">
      <alignment/>
    </xf>
    <xf numFmtId="189" fontId="3" fillId="34" borderId="22" xfId="0" applyNumberFormat="1" applyFont="1" applyFill="1" applyBorder="1" applyAlignment="1">
      <alignment/>
    </xf>
    <xf numFmtId="189" fontId="3" fillId="34" borderId="25" xfId="0" applyNumberFormat="1" applyFont="1" applyFill="1" applyBorder="1" applyAlignment="1">
      <alignment/>
    </xf>
    <xf numFmtId="189" fontId="3" fillId="34" borderId="23" xfId="0" applyNumberFormat="1" applyFont="1" applyFill="1" applyBorder="1" applyAlignment="1">
      <alignment/>
    </xf>
    <xf numFmtId="190" fontId="3" fillId="34" borderId="26" xfId="0" applyNumberFormat="1" applyFont="1" applyFill="1" applyBorder="1" applyAlignment="1">
      <alignment/>
    </xf>
    <xf numFmtId="190" fontId="5" fillId="34" borderId="12" xfId="0" applyNumberFormat="1" applyFont="1" applyFill="1" applyBorder="1" applyAlignment="1">
      <alignment wrapText="1"/>
    </xf>
    <xf numFmtId="190" fontId="5" fillId="34" borderId="12" xfId="0" applyNumberFormat="1" applyFont="1" applyFill="1" applyBorder="1" applyAlignment="1">
      <alignment/>
    </xf>
    <xf numFmtId="190" fontId="11" fillId="34" borderId="0" xfId="0" applyNumberFormat="1" applyFont="1" applyFill="1" applyAlignment="1">
      <alignment/>
    </xf>
    <xf numFmtId="0" fontId="13" fillId="34" borderId="12" xfId="0" applyFont="1" applyFill="1" applyBorder="1" applyAlignment="1">
      <alignment wrapText="1"/>
    </xf>
    <xf numFmtId="190" fontId="13" fillId="34" borderId="12" xfId="0" applyNumberFormat="1" applyFont="1" applyFill="1" applyBorder="1" applyAlignment="1">
      <alignment wrapText="1"/>
    </xf>
    <xf numFmtId="190" fontId="13" fillId="34" borderId="12" xfId="0" applyNumberFormat="1" applyFont="1" applyFill="1" applyBorder="1" applyAlignment="1">
      <alignment/>
    </xf>
    <xf numFmtId="190" fontId="13" fillId="34" borderId="10" xfId="0" applyNumberFormat="1" applyFont="1" applyFill="1" applyBorder="1" applyAlignment="1">
      <alignment/>
    </xf>
    <xf numFmtId="189" fontId="13" fillId="34" borderId="10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horizontal="right"/>
    </xf>
    <xf numFmtId="0" fontId="78" fillId="34" borderId="10" xfId="0" applyFont="1" applyFill="1" applyBorder="1" applyAlignment="1">
      <alignment wrapText="1"/>
    </xf>
    <xf numFmtId="190" fontId="78" fillId="34" borderId="10" xfId="0" applyNumberFormat="1" applyFont="1" applyFill="1" applyBorder="1" applyAlignment="1">
      <alignment wrapText="1"/>
    </xf>
    <xf numFmtId="190" fontId="78" fillId="34" borderId="10" xfId="0" applyNumberFormat="1" applyFont="1" applyFill="1" applyBorder="1" applyAlignment="1">
      <alignment/>
    </xf>
    <xf numFmtId="190" fontId="78" fillId="34" borderId="17" xfId="0" applyNumberFormat="1" applyFont="1" applyFill="1" applyBorder="1" applyAlignment="1">
      <alignment/>
    </xf>
    <xf numFmtId="189" fontId="78" fillId="34" borderId="10" xfId="0" applyNumberFormat="1" applyFont="1" applyFill="1" applyBorder="1" applyAlignment="1">
      <alignment/>
    </xf>
    <xf numFmtId="189" fontId="79" fillId="34" borderId="10" xfId="0" applyNumberFormat="1" applyFont="1" applyFill="1" applyBorder="1" applyAlignment="1">
      <alignment/>
    </xf>
    <xf numFmtId="190" fontId="79" fillId="34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29"/>
          <c:w val="0.856"/>
          <c:h val="0.6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155260.2</c:v>
                </c:pt>
                <c:pt idx="1">
                  <c:v>144079.1</c:v>
                </c:pt>
                <c:pt idx="2">
                  <c:v>2620.6</c:v>
                </c:pt>
                <c:pt idx="3">
                  <c:v>8560.500000000005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124119.20000000001</c:v>
                </c:pt>
                <c:pt idx="1">
                  <c:v>116674.29999999999</c:v>
                </c:pt>
                <c:pt idx="2">
                  <c:v>1620.0000000000002</c:v>
                </c:pt>
                <c:pt idx="3">
                  <c:v>5824.900000000023</c:v>
                </c:pt>
              </c:numCache>
            </c:numRef>
          </c:val>
          <c:shape val="box"/>
        </c:ser>
        <c:shape val="box"/>
        <c:axId val="15650242"/>
        <c:axId val="6634451"/>
      </c:bar3DChart>
      <c:catAx>
        <c:axId val="1565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34451"/>
        <c:crosses val="autoZero"/>
        <c:auto val="1"/>
        <c:lblOffset val="100"/>
        <c:tickLblSkip val="1"/>
        <c:noMultiLvlLbl val="0"/>
      </c:catAx>
      <c:valAx>
        <c:axId val="66344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502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95"/>
          <c:w val="0.28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275"/>
          <c:w val="0.8435"/>
          <c:h val="0.66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649900.8999999999</c:v>
                </c:pt>
                <c:pt idx="1">
                  <c:v>243536.9</c:v>
                </c:pt>
                <c:pt idx="2">
                  <c:v>508871</c:v>
                </c:pt>
                <c:pt idx="3">
                  <c:v>91.3</c:v>
                </c:pt>
                <c:pt idx="4">
                  <c:v>30490.8</c:v>
                </c:pt>
                <c:pt idx="5">
                  <c:v>76720.59999999999</c:v>
                </c:pt>
                <c:pt idx="6">
                  <c:v>13925.7</c:v>
                </c:pt>
                <c:pt idx="7">
                  <c:v>19801.499999999924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519570.5</c:v>
                </c:pt>
                <c:pt idx="1">
                  <c:v>197438.00000000003</c:v>
                </c:pt>
                <c:pt idx="2">
                  <c:v>418715.3999999999</c:v>
                </c:pt>
                <c:pt idx="3">
                  <c:v>54.5</c:v>
                </c:pt>
                <c:pt idx="4">
                  <c:v>26906.5</c:v>
                </c:pt>
                <c:pt idx="5">
                  <c:v>51763.09999999999</c:v>
                </c:pt>
                <c:pt idx="6">
                  <c:v>10479.099999999997</c:v>
                </c:pt>
                <c:pt idx="7">
                  <c:v>11651.900000000105</c:v>
                </c:pt>
              </c:numCache>
            </c:numRef>
          </c:val>
          <c:shape val="box"/>
        </c:ser>
        <c:shape val="box"/>
        <c:axId val="59710060"/>
        <c:axId val="519629"/>
      </c:bar3DChart>
      <c:catAx>
        <c:axId val="59710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9629"/>
        <c:crosses val="autoZero"/>
        <c:auto val="1"/>
        <c:lblOffset val="100"/>
        <c:tickLblSkip val="1"/>
        <c:noMultiLvlLbl val="0"/>
      </c:catAx>
      <c:valAx>
        <c:axId val="5196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100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675"/>
          <c:w val="0.9295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373935.39999999997</c:v>
                </c:pt>
                <c:pt idx="1">
                  <c:v>239505.5</c:v>
                </c:pt>
                <c:pt idx="2">
                  <c:v>373935.39999999997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314808.30000000005</c:v>
                </c:pt>
                <c:pt idx="1">
                  <c:v>208887.5000000001</c:v>
                </c:pt>
                <c:pt idx="2">
                  <c:v>314808.30000000005</c:v>
                </c:pt>
              </c:numCache>
            </c:numRef>
          </c:val>
          <c:shape val="box"/>
        </c:ser>
        <c:shape val="box"/>
        <c:axId val="4676662"/>
        <c:axId val="42089959"/>
      </c:bar3DChart>
      <c:catAx>
        <c:axId val="4676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89959"/>
        <c:crosses val="autoZero"/>
        <c:auto val="1"/>
        <c:lblOffset val="100"/>
        <c:tickLblSkip val="1"/>
        <c:noMultiLvlLbl val="0"/>
      </c:catAx>
      <c:valAx>
        <c:axId val="420899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66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8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75"/>
          <c:w val="0.87025"/>
          <c:h val="0.590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64922.4</c:v>
                </c:pt>
                <c:pt idx="1">
                  <c:v>52872.899999999994</c:v>
                </c:pt>
                <c:pt idx="2">
                  <c:v>3079.2000000000003</c:v>
                </c:pt>
                <c:pt idx="3">
                  <c:v>752.1</c:v>
                </c:pt>
                <c:pt idx="4">
                  <c:v>80.8</c:v>
                </c:pt>
                <c:pt idx="5">
                  <c:v>8137.400000000006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52637.699999999975</c:v>
                </c:pt>
                <c:pt idx="1">
                  <c:v>43966.00000000001</c:v>
                </c:pt>
                <c:pt idx="2">
                  <c:v>1624.6</c:v>
                </c:pt>
                <c:pt idx="3">
                  <c:v>660.4</c:v>
                </c:pt>
                <c:pt idx="4">
                  <c:v>28.8</c:v>
                </c:pt>
                <c:pt idx="5">
                  <c:v>6357.899999999968</c:v>
                </c:pt>
              </c:numCache>
            </c:numRef>
          </c:val>
          <c:shape val="box"/>
        </c:ser>
        <c:shape val="box"/>
        <c:axId val="43265312"/>
        <c:axId val="53843489"/>
      </c:bar3DChart>
      <c:catAx>
        <c:axId val="43265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843489"/>
        <c:crosses val="autoZero"/>
        <c:auto val="1"/>
        <c:lblOffset val="100"/>
        <c:tickLblSkip val="1"/>
        <c:noMultiLvlLbl val="0"/>
      </c:catAx>
      <c:valAx>
        <c:axId val="538434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653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925"/>
          <c:w val="0.86375"/>
          <c:h val="0.641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24970.6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7316.399999999999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19605.100000000002</c:v>
                </c:pt>
                <c:pt idx="1">
                  <c:v>12816.600000000002</c:v>
                </c:pt>
                <c:pt idx="2">
                  <c:v>1.6</c:v>
                </c:pt>
                <c:pt idx="3">
                  <c:v>558.3999999999997</c:v>
                </c:pt>
                <c:pt idx="4">
                  <c:v>578.7</c:v>
                </c:pt>
                <c:pt idx="5">
                  <c:v>400</c:v>
                </c:pt>
                <c:pt idx="6">
                  <c:v>5249.8</c:v>
                </c:pt>
              </c:numCache>
            </c:numRef>
          </c:val>
          <c:shape val="box"/>
        </c:ser>
        <c:shape val="box"/>
        <c:axId val="14829354"/>
        <c:axId val="66355323"/>
      </c:bar3DChart>
      <c:catAx>
        <c:axId val="14829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355323"/>
        <c:crosses val="autoZero"/>
        <c:auto val="1"/>
        <c:lblOffset val="100"/>
        <c:tickLblSkip val="2"/>
        <c:noMultiLvlLbl val="0"/>
      </c:catAx>
      <c:valAx>
        <c:axId val="663553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29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3675"/>
          <c:w val="0.87775"/>
          <c:h val="0.667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4816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807.0999999999999</c:v>
                </c:pt>
                <c:pt idx="5">
                  <c:v>691.5999999999997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3706.3</c:v>
                </c:pt>
                <c:pt idx="1">
                  <c:v>2174.5000000000005</c:v>
                </c:pt>
                <c:pt idx="2">
                  <c:v>337</c:v>
                </c:pt>
                <c:pt idx="3">
                  <c:v>223.89999999999998</c:v>
                </c:pt>
                <c:pt idx="4">
                  <c:v>549</c:v>
                </c:pt>
                <c:pt idx="5">
                  <c:v>421.89999999999964</c:v>
                </c:pt>
              </c:numCache>
            </c:numRef>
          </c:val>
          <c:shape val="box"/>
        </c:ser>
        <c:shape val="box"/>
        <c:axId val="60326996"/>
        <c:axId val="6072053"/>
      </c:bar3DChart>
      <c:catAx>
        <c:axId val="6032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72053"/>
        <c:crosses val="autoZero"/>
        <c:auto val="1"/>
        <c:lblOffset val="100"/>
        <c:tickLblSkip val="1"/>
        <c:noMultiLvlLbl val="0"/>
      </c:catAx>
      <c:valAx>
        <c:axId val="60720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269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295"/>
          <c:w val="0.85525"/>
          <c:h val="0.69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58976.4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47854.20000000001</c:v>
                </c:pt>
              </c:numCache>
            </c:numRef>
          </c:val>
          <c:shape val="box"/>
        </c:ser>
        <c:shape val="box"/>
        <c:axId val="54648478"/>
        <c:axId val="22074255"/>
      </c:bar3DChart>
      <c:catAx>
        <c:axId val="54648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074255"/>
        <c:crosses val="autoZero"/>
        <c:auto val="1"/>
        <c:lblOffset val="100"/>
        <c:tickLblSkip val="1"/>
        <c:noMultiLvlLbl val="0"/>
      </c:catAx>
      <c:valAx>
        <c:axId val="22074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484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825"/>
          <c:w val="0.851"/>
          <c:h val="0.581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649900.8999999999</c:v>
                </c:pt>
                <c:pt idx="1">
                  <c:v>373935.39999999997</c:v>
                </c:pt>
                <c:pt idx="2">
                  <c:v>64922.4</c:v>
                </c:pt>
                <c:pt idx="3">
                  <c:v>24970.6</c:v>
                </c:pt>
                <c:pt idx="4">
                  <c:v>4816</c:v>
                </c:pt>
                <c:pt idx="5">
                  <c:v>155260.2</c:v>
                </c:pt>
                <c:pt idx="6">
                  <c:v>58976.4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519570.5</c:v>
                </c:pt>
                <c:pt idx="1">
                  <c:v>314808.30000000005</c:v>
                </c:pt>
                <c:pt idx="2">
                  <c:v>52637.699999999975</c:v>
                </c:pt>
                <c:pt idx="3">
                  <c:v>19605.100000000002</c:v>
                </c:pt>
                <c:pt idx="4">
                  <c:v>3706.3</c:v>
                </c:pt>
                <c:pt idx="5">
                  <c:v>124119.20000000001</c:v>
                </c:pt>
                <c:pt idx="6">
                  <c:v>47854.20000000001</c:v>
                </c:pt>
              </c:numCache>
            </c:numRef>
          </c:val>
          <c:shape val="box"/>
        </c:ser>
        <c:shape val="box"/>
        <c:axId val="64450568"/>
        <c:axId val="43184201"/>
      </c:bar3DChart>
      <c:catAx>
        <c:axId val="64450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184201"/>
        <c:crosses val="autoZero"/>
        <c:auto val="1"/>
        <c:lblOffset val="100"/>
        <c:tickLblSkip val="1"/>
        <c:noMultiLvlLbl val="0"/>
      </c:catAx>
      <c:valAx>
        <c:axId val="43184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505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775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215"/>
          <c:w val="0.84125"/>
          <c:h val="0.58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735951.9999999999</c:v>
                </c:pt>
                <c:pt idx="1">
                  <c:v>98268.7</c:v>
                </c:pt>
                <c:pt idx="2">
                  <c:v>31719.100000000002</c:v>
                </c:pt>
                <c:pt idx="3">
                  <c:v>24304.6</c:v>
                </c:pt>
                <c:pt idx="4">
                  <c:v>105.7</c:v>
                </c:pt>
                <c:pt idx="5">
                  <c:v>988550.8999999997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605010.7999999998</c:v>
                </c:pt>
                <c:pt idx="1">
                  <c:v>66055.9</c:v>
                </c:pt>
                <c:pt idx="2">
                  <c:v>27852</c:v>
                </c:pt>
                <c:pt idx="3">
                  <c:v>17955.299999999996</c:v>
                </c:pt>
                <c:pt idx="4">
                  <c:v>56.9</c:v>
                </c:pt>
                <c:pt idx="5">
                  <c:v>814375.8000000003</c:v>
                </c:pt>
              </c:numCache>
            </c:numRef>
          </c:val>
          <c:shape val="box"/>
        </c:ser>
        <c:shape val="box"/>
        <c:axId val="53113490"/>
        <c:axId val="8259363"/>
      </c:bar3DChart>
      <c:catAx>
        <c:axId val="53113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259363"/>
        <c:crosses val="autoZero"/>
        <c:auto val="1"/>
        <c:lblOffset val="100"/>
        <c:tickLblSkip val="1"/>
        <c:noMultiLvlLbl val="0"/>
      </c:catAx>
      <c:valAx>
        <c:axId val="82593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134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13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30">
      <c r="A1" s="165" t="s">
        <v>111</v>
      </c>
      <c r="B1" s="165"/>
      <c r="C1" s="165"/>
      <c r="D1" s="165"/>
      <c r="E1" s="165"/>
      <c r="F1" s="165"/>
      <c r="G1" s="165"/>
      <c r="H1" s="165"/>
      <c r="I1" s="165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9" t="s">
        <v>41</v>
      </c>
      <c r="B3" s="166" t="s">
        <v>108</v>
      </c>
      <c r="C3" s="166" t="s">
        <v>90</v>
      </c>
      <c r="D3" s="166" t="s">
        <v>23</v>
      </c>
      <c r="E3" s="166" t="s">
        <v>22</v>
      </c>
      <c r="F3" s="166" t="s">
        <v>110</v>
      </c>
      <c r="G3" s="166" t="s">
        <v>92</v>
      </c>
      <c r="H3" s="166" t="s">
        <v>109</v>
      </c>
      <c r="I3" s="166" t="s">
        <v>91</v>
      </c>
    </row>
    <row r="4" spans="1:9" ht="24.75" customHeight="1">
      <c r="A4" s="170"/>
      <c r="B4" s="167"/>
      <c r="C4" s="167"/>
      <c r="D4" s="167"/>
      <c r="E4" s="167"/>
      <c r="F4" s="167"/>
      <c r="G4" s="167"/>
      <c r="H4" s="167"/>
      <c r="I4" s="167"/>
    </row>
    <row r="5" spans="1:9" ht="39" customHeight="1" thickBot="1">
      <c r="A5" s="171"/>
      <c r="B5" s="168"/>
      <c r="C5" s="168"/>
      <c r="D5" s="168"/>
      <c r="E5" s="168"/>
      <c r="F5" s="168"/>
      <c r="G5" s="168"/>
      <c r="H5" s="168"/>
      <c r="I5" s="168"/>
    </row>
    <row r="6" spans="1:9" ht="18.75" thickBot="1">
      <c r="A6" s="20" t="s">
        <v>27</v>
      </c>
      <c r="B6" s="40">
        <v>590235.2</v>
      </c>
      <c r="C6" s="41">
        <f>625865.1-190.4-316.9+47.1+50+198+5366.4+2952+4818.2+150+808.5-0.1-255.7+10077.1+331.6</f>
        <v>649900.8999999999</v>
      </c>
      <c r="D6" s="42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+35.4+105.8+117+93+3179.6+5641.3+44.7+341.3+226.2+71.3+204.4+196.8+17509.3+115+469.9-20+0.2+61+463.6+581.6+153.1+15631+107.2+1003.9+0.4+347.9+724.1+1512.3+733.4+10763.4+10898.3+2491.5+321.4+180.3+1483.5+12111.7+5218+72+150.5+33.2+16.3+1406.1+728.2+1001.9+486.9+259.1+10354.1+13977.8+43.8+13.4+113.1+1351.9+1646.1+174+1854.3+11637.9+11348.9-33.6+382.3</f>
        <v>519570.5</v>
      </c>
      <c r="E6" s="3">
        <f>D6/D151*100</f>
        <v>33.92987831895465</v>
      </c>
      <c r="F6" s="3">
        <f>D6/B6*100</f>
        <v>88.02770488781422</v>
      </c>
      <c r="G6" s="3">
        <f aca="true" t="shared" si="0" ref="G6:G43">D6/C6*100</f>
        <v>79.94611178411971</v>
      </c>
      <c r="H6" s="42">
        <f>B6-D6</f>
        <v>70664.69999999995</v>
      </c>
      <c r="I6" s="42">
        <f aca="true" t="shared" si="1" ref="I6:I43">C6-D6</f>
        <v>130330.3999999999</v>
      </c>
    </row>
    <row r="7" spans="1:12" s="119" customFormat="1" ht="18">
      <c r="A7" s="151" t="s">
        <v>82</v>
      </c>
      <c r="B7" s="152">
        <v>223808.1</v>
      </c>
      <c r="C7" s="153">
        <f>243287.4+47.1+202.4</f>
        <v>243536.9</v>
      </c>
      <c r="D7" s="154">
        <f>6699.4+11261.7+10.2+8073.8+9792.3+0.1+0.8+7352+6.6+10108.4-0.1+7942.1+9848.6-0.1+7861.7+17351.9+0.1+8976.7+21107.4+3648.1+8478-0.1+422+40.1+569.1+2781.8+7228.1+78.7+0.1+7673+92.1+10319.7+9.3+8020.9+10334.5+11348.9+0.1</f>
        <v>197438.00000000003</v>
      </c>
      <c r="E7" s="155">
        <f>D7/D6*100</f>
        <v>38.00023288466147</v>
      </c>
      <c r="F7" s="155">
        <f>D7/B7*100</f>
        <v>88.21753993711579</v>
      </c>
      <c r="G7" s="155">
        <f>D7/C7*100</f>
        <v>81.07108204136622</v>
      </c>
      <c r="H7" s="154">
        <f>B7-D7</f>
        <v>26370.099999999977</v>
      </c>
      <c r="I7" s="154">
        <f t="shared" si="1"/>
        <v>46098.899999999965</v>
      </c>
      <c r="L7" s="150"/>
    </row>
    <row r="8" spans="1:12" s="99" customFormat="1" ht="18">
      <c r="A8" s="109" t="s">
        <v>3</v>
      </c>
      <c r="B8" s="137">
        <v>465190.1</v>
      </c>
      <c r="C8" s="138">
        <f>487771.7+47.1+4992.2+4503.5+174-122.1+10000+1504.6</f>
        <v>508871</v>
      </c>
      <c r="D8" s="111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+16812+78.7+0.1+61+2+15631+10273.9+10783.6+2491.5+11267.5+5218+13.3+10334.5+13042.5+13.4+10678.3+11348.9-52.2</f>
        <v>418715.3999999999</v>
      </c>
      <c r="E8" s="113">
        <f>D8/D6*100</f>
        <v>80.58875552018443</v>
      </c>
      <c r="F8" s="113">
        <f>D8/B8*100</f>
        <v>90.00952513821767</v>
      </c>
      <c r="G8" s="113">
        <f t="shared" si="0"/>
        <v>82.28321126572351</v>
      </c>
      <c r="H8" s="111">
        <f>B8-D8</f>
        <v>46474.70000000007</v>
      </c>
      <c r="I8" s="111">
        <f t="shared" si="1"/>
        <v>90155.6000000001</v>
      </c>
      <c r="L8" s="150"/>
    </row>
    <row r="9" spans="1:12" s="99" customFormat="1" ht="18">
      <c r="A9" s="109" t="s">
        <v>2</v>
      </c>
      <c r="B9" s="137">
        <v>90.3</v>
      </c>
      <c r="C9" s="138">
        <f>92.5-1.2</f>
        <v>91.3</v>
      </c>
      <c r="D9" s="111">
        <f>2.5+4.3+3.3+7+0.4+1.3+1.6+1.3+1.5-0.1+0.8+5.1+2.1+0.8+4.5+2.3+3.3+2.6+0.4+0.9+2.1+0.9+1.5+0.4+3.7</f>
        <v>54.5</v>
      </c>
      <c r="E9" s="139">
        <f>D9/D6*100</f>
        <v>0.010489433099069327</v>
      </c>
      <c r="F9" s="113">
        <f>D9/B9*100</f>
        <v>60.35437430786268</v>
      </c>
      <c r="G9" s="113">
        <f t="shared" si="0"/>
        <v>59.69331872946331</v>
      </c>
      <c r="H9" s="111">
        <f aca="true" t="shared" si="2" ref="H9:H43">B9-D9</f>
        <v>35.8</v>
      </c>
      <c r="I9" s="111">
        <f t="shared" si="1"/>
        <v>36.8</v>
      </c>
      <c r="L9" s="150"/>
    </row>
    <row r="10" spans="1:12" s="99" customFormat="1" ht="18">
      <c r="A10" s="109" t="s">
        <v>1</v>
      </c>
      <c r="B10" s="137">
        <v>29092</v>
      </c>
      <c r="C10" s="138">
        <f>27822.4-190.4-170.5+3029.3</f>
        <v>30490.8</v>
      </c>
      <c r="D10" s="156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+0.1+0.7+362.7+406+151.1+101.8+611.6+12.3+6+654.8+272.9+224.8+91.3+321.4+142.9+830.4+401.6+57.7+74.3+214.2+468.4+80.9+3.6+66.6+713.9+13.9+778.5+209.7+676.3+68+7+364.5</f>
        <v>26906.5</v>
      </c>
      <c r="E10" s="113">
        <f>D10/D6*100</f>
        <v>5.178604251011172</v>
      </c>
      <c r="F10" s="113">
        <f aca="true" t="shared" si="3" ref="F10:F41">D10/B10*100</f>
        <v>92.4876254640451</v>
      </c>
      <c r="G10" s="113">
        <f t="shared" si="0"/>
        <v>88.24465084550094</v>
      </c>
      <c r="H10" s="111">
        <f t="shared" si="2"/>
        <v>2185.5</v>
      </c>
      <c r="I10" s="111">
        <f t="shared" si="1"/>
        <v>3584.2999999999993</v>
      </c>
      <c r="L10" s="150"/>
    </row>
    <row r="11" spans="1:12" s="99" customFormat="1" ht="18">
      <c r="A11" s="109" t="s">
        <v>0</v>
      </c>
      <c r="B11" s="137">
        <v>65371.9</v>
      </c>
      <c r="C11" s="138">
        <f>80900.5-133.6-4046.3</f>
        <v>76720.59999999999</v>
      </c>
      <c r="D11" s="157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+338.1+7.6-7.7+69.8+36.7+105.4+0.4+78+81.2+311.5+17.7+176.5+7.6+28.7+139+210.7+38.1+3+228.9+67.9+36.5+416.7+45.9+70.6+239+1280.9+34.3+1008+852.2+49.2</f>
        <v>51763.09999999999</v>
      </c>
      <c r="E11" s="113">
        <f>D11/D6*100</f>
        <v>9.962671090833677</v>
      </c>
      <c r="F11" s="113">
        <f t="shared" si="3"/>
        <v>79.1824927835966</v>
      </c>
      <c r="G11" s="113">
        <f t="shared" si="0"/>
        <v>67.46962354309012</v>
      </c>
      <c r="H11" s="111">
        <f t="shared" si="2"/>
        <v>13608.80000000001</v>
      </c>
      <c r="I11" s="111">
        <f t="shared" si="1"/>
        <v>24957.5</v>
      </c>
      <c r="L11" s="150"/>
    </row>
    <row r="12" spans="1:12" s="99" customFormat="1" ht="18">
      <c r="A12" s="109" t="s">
        <v>14</v>
      </c>
      <c r="B12" s="137">
        <v>12556.2</v>
      </c>
      <c r="C12" s="138">
        <f>14045.5-16.9-29.9-73</f>
        <v>13925.7</v>
      </c>
      <c r="D12" s="111">
        <f>276.3+3.4+1.2+766.5+1.2+207.2+488.1+284.1+207.8+0.1+1.2+2.8+9+434.7+164.8+490.2+0.8+3.6+1.2+150.2+3.6+534.8+237.6+35.2+0.2+10.9+298.8+1.2+661.3+35.2+0.5+0.1+44.4+1.2+436.4+226+367.5+10+125.1+50.5+1.3+9.1+238.6+544+41.1+1.2+5.4+577.1+113.5+50.5+20.2+5.4+92+306.4+390.8+273.3+1.8+8.7+9.1+16.3+422.6+10+755.4+1.8+1.2+7.6-0.2</f>
        <v>10479.099999999997</v>
      </c>
      <c r="E12" s="113">
        <f>D12/D6*100</f>
        <v>2.016877401623071</v>
      </c>
      <c r="F12" s="113">
        <f t="shared" si="3"/>
        <v>83.45757474395117</v>
      </c>
      <c r="G12" s="113">
        <f t="shared" si="0"/>
        <v>75.25007719540127</v>
      </c>
      <c r="H12" s="111">
        <f>B12-D12</f>
        <v>2077.100000000004</v>
      </c>
      <c r="I12" s="111">
        <f t="shared" si="1"/>
        <v>3446.600000000004</v>
      </c>
      <c r="L12" s="150"/>
    </row>
    <row r="13" spans="1:12" s="99" customFormat="1" ht="18.75" thickBot="1">
      <c r="A13" s="109" t="s">
        <v>28</v>
      </c>
      <c r="B13" s="138">
        <f>B6-B8-B9-B10-B11-B12</f>
        <v>17934.69999999997</v>
      </c>
      <c r="C13" s="138">
        <f>C6-C8-C9-C10-C11-C12</f>
        <v>19801.499999999924</v>
      </c>
      <c r="D13" s="138">
        <f>D6-D8-D9-D10-D11-D12</f>
        <v>11651.900000000105</v>
      </c>
      <c r="E13" s="113">
        <f>D13/D6*100</f>
        <v>2.2426023032485687</v>
      </c>
      <c r="F13" s="113">
        <f t="shared" si="3"/>
        <v>64.96846894567582</v>
      </c>
      <c r="G13" s="113">
        <f t="shared" si="0"/>
        <v>58.84352195540817</v>
      </c>
      <c r="H13" s="111">
        <f t="shared" si="2"/>
        <v>6282.7999999998665</v>
      </c>
      <c r="I13" s="111">
        <f t="shared" si="1"/>
        <v>8149.5999999998185</v>
      </c>
      <c r="L13" s="150"/>
    </row>
    <row r="14" spans="1:13" s="32" customFormat="1" ht="18.75" customHeight="1" hidden="1">
      <c r="A14" s="76" t="s">
        <v>62</v>
      </c>
      <c r="B14" s="74"/>
      <c r="C14" s="74"/>
      <c r="D14" s="74"/>
      <c r="E14" s="75"/>
      <c r="F14" s="75" t="e">
        <f>D14/B14*100</f>
        <v>#DIV/0!</v>
      </c>
      <c r="G14" s="75" t="e">
        <f>D14/C14*100</f>
        <v>#DIV/0!</v>
      </c>
      <c r="H14" s="81">
        <f>B14-D14</f>
        <v>0</v>
      </c>
      <c r="I14" s="81">
        <f>C14-D14</f>
        <v>0</v>
      </c>
      <c r="K14" s="11"/>
      <c r="L14" s="11"/>
      <c r="M14" s="11"/>
    </row>
    <row r="15" spans="1:13" s="32" customFormat="1" ht="18.75" customHeight="1" hidden="1">
      <c r="A15" s="76" t="s">
        <v>59</v>
      </c>
      <c r="B15" s="74"/>
      <c r="C15" s="74"/>
      <c r="D15" s="74"/>
      <c r="E15" s="75"/>
      <c r="F15" s="75" t="e">
        <f>D15/B15*100</f>
        <v>#DIV/0!</v>
      </c>
      <c r="G15" s="75" t="e">
        <f>D15/C15*100</f>
        <v>#DIV/0!</v>
      </c>
      <c r="H15" s="81">
        <f>B15-D15</f>
        <v>0</v>
      </c>
      <c r="I15" s="81">
        <f>C15-D15</f>
        <v>0</v>
      </c>
      <c r="K15" s="11"/>
      <c r="L15" s="11"/>
      <c r="M15" s="11"/>
    </row>
    <row r="16" spans="1:13" s="32" customFormat="1" ht="18.75" hidden="1" thickBot="1">
      <c r="A16" s="76" t="s">
        <v>60</v>
      </c>
      <c r="B16" s="74"/>
      <c r="C16" s="74"/>
      <c r="D16" s="74"/>
      <c r="E16" s="75"/>
      <c r="F16" s="75" t="e">
        <f>D16/B16*100</f>
        <v>#DIV/0!</v>
      </c>
      <c r="G16" s="75" t="e">
        <f>D16/C16*100</f>
        <v>#DIV/0!</v>
      </c>
      <c r="H16" s="81">
        <f>B16-D16</f>
        <v>0</v>
      </c>
      <c r="I16" s="81">
        <f>C16-D16</f>
        <v>0</v>
      </c>
      <c r="K16" s="11"/>
      <c r="L16" s="11"/>
      <c r="M16" s="11"/>
    </row>
    <row r="17" spans="1:13" s="32" customFormat="1" ht="18.75" hidden="1" thickBot="1">
      <c r="A17" s="76" t="s">
        <v>61</v>
      </c>
      <c r="B17" s="74"/>
      <c r="C17" s="74"/>
      <c r="D17" s="74"/>
      <c r="E17" s="75"/>
      <c r="F17" s="75" t="e">
        <f>D17/B17*100</f>
        <v>#DIV/0!</v>
      </c>
      <c r="G17" s="75" t="e">
        <f>D17/C17*100</f>
        <v>#DIV/0!</v>
      </c>
      <c r="H17" s="81">
        <f>B17-D17</f>
        <v>0</v>
      </c>
      <c r="I17" s="81">
        <f>C17-D17</f>
        <v>0</v>
      </c>
      <c r="K17" s="11"/>
      <c r="L17" s="11"/>
      <c r="M17" s="11"/>
    </row>
    <row r="18" spans="1:9" ht="18.75" thickBot="1">
      <c r="A18" s="20" t="s">
        <v>19</v>
      </c>
      <c r="B18" s="40">
        <v>345814.7</v>
      </c>
      <c r="C18" s="41">
        <f>329127.1+600+14307.6+200+1333.8+15842.2+1513.4+30+10000+981.3</f>
        <v>373935.39999999997</v>
      </c>
      <c r="D18" s="42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+1238.7+13432.6+6+0.1+254.3+229.8+29.4+124.1+36+1194.7+6.6+7715.4+1781.2+5.1+942+15.4+1291+22.4+4234+9891.5+7.9+736.2+410+0.2+580.2+8916.4+1114.5+75.8+4+4.4+1148.5+553.7+2.8+57.9+1.7+8101.6+5917.5+1026.8+136.5+41.8+25+2.3+118+238.1+9.7+8.6+0.2+22.6+1800.6+607.4+4600.9+4391+509.5</f>
        <v>314808.30000000005</v>
      </c>
      <c r="E18" s="3">
        <f>D18/D151*100</f>
        <v>20.55814814889793</v>
      </c>
      <c r="F18" s="3">
        <f>D18/B18*100</f>
        <v>91.033810881955</v>
      </c>
      <c r="G18" s="3">
        <f t="shared" si="0"/>
        <v>84.18788378955297</v>
      </c>
      <c r="H18" s="42">
        <f>B18-D18</f>
        <v>31006.399999999965</v>
      </c>
      <c r="I18" s="42">
        <f t="shared" si="1"/>
        <v>59127.09999999992</v>
      </c>
    </row>
    <row r="19" spans="1:13" s="119" customFormat="1" ht="18">
      <c r="A19" s="151" t="s">
        <v>83</v>
      </c>
      <c r="B19" s="152">
        <v>219649.2</v>
      </c>
      <c r="C19" s="153">
        <f>238249.5+1256</f>
        <v>239505.5</v>
      </c>
      <c r="D19" s="154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+529.4+9922.2+0.2+29.4+36+844.6+6.6+7336+1781.2+606.6+15.4+844.2+4234+4530+7.9+410+8916.4+666.5+4+4.4+553.7+2.8+57.9+1.7+8101.6+1026.8+41.8+25+2.3+238.1+8.6+0.2+22.6+4600.9+4391</f>
        <v>208887.5000000001</v>
      </c>
      <c r="E19" s="155">
        <f>D19/D18*100</f>
        <v>66.35387313485701</v>
      </c>
      <c r="F19" s="155">
        <f t="shared" si="3"/>
        <v>95.10050571547725</v>
      </c>
      <c r="G19" s="155">
        <f t="shared" si="0"/>
        <v>87.21615996292364</v>
      </c>
      <c r="H19" s="154">
        <f t="shared" si="2"/>
        <v>10761.699999999924</v>
      </c>
      <c r="I19" s="154">
        <f t="shared" si="1"/>
        <v>30617.999999999913</v>
      </c>
      <c r="K19" s="99"/>
      <c r="L19" s="99"/>
      <c r="M19" s="99"/>
    </row>
    <row r="20" spans="1:9" s="99" customFormat="1" ht="18" hidden="1">
      <c r="A20" s="109" t="s">
        <v>5</v>
      </c>
      <c r="B20" s="137"/>
      <c r="C20" s="138"/>
      <c r="D20" s="111"/>
      <c r="E20" s="113">
        <f>D20/D18*100</f>
        <v>0</v>
      </c>
      <c r="F20" s="113" t="e">
        <f t="shared" si="3"/>
        <v>#DIV/0!</v>
      </c>
      <c r="G20" s="113" t="e">
        <f t="shared" si="0"/>
        <v>#DIV/0!</v>
      </c>
      <c r="H20" s="111">
        <f t="shared" si="2"/>
        <v>0</v>
      </c>
      <c r="I20" s="111">
        <f t="shared" si="1"/>
        <v>0</v>
      </c>
    </row>
    <row r="21" spans="1:9" s="99" customFormat="1" ht="18" hidden="1">
      <c r="A21" s="109" t="s">
        <v>2</v>
      </c>
      <c r="B21" s="137"/>
      <c r="C21" s="138"/>
      <c r="D21" s="111"/>
      <c r="E21" s="113">
        <f>D21/D18*100</f>
        <v>0</v>
      </c>
      <c r="F21" s="113" t="e">
        <f t="shared" si="3"/>
        <v>#DIV/0!</v>
      </c>
      <c r="G21" s="113" t="e">
        <f t="shared" si="0"/>
        <v>#DIV/0!</v>
      </c>
      <c r="H21" s="111">
        <f t="shared" si="2"/>
        <v>0</v>
      </c>
      <c r="I21" s="111">
        <f t="shared" si="1"/>
        <v>0</v>
      </c>
    </row>
    <row r="22" spans="1:9" s="99" customFormat="1" ht="18" hidden="1">
      <c r="A22" s="109" t="s">
        <v>1</v>
      </c>
      <c r="B22" s="137"/>
      <c r="C22" s="138"/>
      <c r="D22" s="111"/>
      <c r="E22" s="113">
        <f>D22/D18*100</f>
        <v>0</v>
      </c>
      <c r="F22" s="113" t="e">
        <f t="shared" si="3"/>
        <v>#DIV/0!</v>
      </c>
      <c r="G22" s="113" t="e">
        <f t="shared" si="0"/>
        <v>#DIV/0!</v>
      </c>
      <c r="H22" s="111">
        <f t="shared" si="2"/>
        <v>0</v>
      </c>
      <c r="I22" s="111">
        <f t="shared" si="1"/>
        <v>0</v>
      </c>
    </row>
    <row r="23" spans="1:9" s="99" customFormat="1" ht="18" hidden="1">
      <c r="A23" s="109" t="s">
        <v>0</v>
      </c>
      <c r="B23" s="137"/>
      <c r="C23" s="138"/>
      <c r="D23" s="111"/>
      <c r="E23" s="113">
        <f>D23/D18*100</f>
        <v>0</v>
      </c>
      <c r="F23" s="113" t="e">
        <f t="shared" si="3"/>
        <v>#DIV/0!</v>
      </c>
      <c r="G23" s="113" t="e">
        <f t="shared" si="0"/>
        <v>#DIV/0!</v>
      </c>
      <c r="H23" s="111">
        <f t="shared" si="2"/>
        <v>0</v>
      </c>
      <c r="I23" s="111">
        <f t="shared" si="1"/>
        <v>0</v>
      </c>
    </row>
    <row r="24" spans="1:9" s="99" customFormat="1" ht="18" hidden="1">
      <c r="A24" s="109" t="s">
        <v>14</v>
      </c>
      <c r="B24" s="137"/>
      <c r="C24" s="138"/>
      <c r="D24" s="111"/>
      <c r="E24" s="113">
        <f>D24/D18*100</f>
        <v>0</v>
      </c>
      <c r="F24" s="113" t="e">
        <f t="shared" si="3"/>
        <v>#DIV/0!</v>
      </c>
      <c r="G24" s="113" t="e">
        <f t="shared" si="0"/>
        <v>#DIV/0!</v>
      </c>
      <c r="H24" s="111">
        <f t="shared" si="2"/>
        <v>0</v>
      </c>
      <c r="I24" s="111">
        <f t="shared" si="1"/>
        <v>0</v>
      </c>
    </row>
    <row r="25" spans="1:9" s="99" customFormat="1" ht="18.75" thickBot="1">
      <c r="A25" s="109" t="s">
        <v>28</v>
      </c>
      <c r="B25" s="138">
        <f>B18</f>
        <v>345814.7</v>
      </c>
      <c r="C25" s="138">
        <f>C18</f>
        <v>373935.39999999997</v>
      </c>
      <c r="D25" s="138">
        <f>D18</f>
        <v>314808.30000000005</v>
      </c>
      <c r="E25" s="113">
        <f>D25/D18*100</f>
        <v>100</v>
      </c>
      <c r="F25" s="113">
        <f t="shared" si="3"/>
        <v>91.033810881955</v>
      </c>
      <c r="G25" s="113">
        <f t="shared" si="0"/>
        <v>84.18788378955297</v>
      </c>
      <c r="H25" s="111">
        <f t="shared" si="2"/>
        <v>31006.399999999965</v>
      </c>
      <c r="I25" s="111">
        <f t="shared" si="1"/>
        <v>59127.09999999992</v>
      </c>
    </row>
    <row r="26" spans="1:11" ht="55.5" hidden="1" thickBot="1">
      <c r="A26" s="76" t="s">
        <v>70</v>
      </c>
      <c r="B26" s="38"/>
      <c r="C26" s="38"/>
      <c r="D26" s="38"/>
      <c r="E26" s="1"/>
      <c r="F26" s="1" t="e">
        <f t="shared" si="3"/>
        <v>#DIV/0!</v>
      </c>
      <c r="G26" s="1" t="e">
        <f t="shared" si="0"/>
        <v>#DIV/0!</v>
      </c>
      <c r="H26" s="39">
        <f t="shared" si="2"/>
        <v>0</v>
      </c>
      <c r="I26" s="39">
        <f t="shared" si="1"/>
        <v>0</v>
      </c>
      <c r="K26" s="95"/>
    </row>
    <row r="27" spans="1:11" ht="36.75" customHeight="1" hidden="1">
      <c r="A27" s="76" t="s">
        <v>71</v>
      </c>
      <c r="B27" s="38"/>
      <c r="C27" s="38"/>
      <c r="D27" s="38"/>
      <c r="E27" s="1"/>
      <c r="F27" s="1" t="e">
        <f t="shared" si="3"/>
        <v>#DIV/0!</v>
      </c>
      <c r="G27" s="1" t="e">
        <f t="shared" si="0"/>
        <v>#DIV/0!</v>
      </c>
      <c r="H27" s="39">
        <f t="shared" si="2"/>
        <v>0</v>
      </c>
      <c r="I27" s="39">
        <f t="shared" si="1"/>
        <v>0</v>
      </c>
      <c r="K27" s="95"/>
    </row>
    <row r="28" spans="1:11" ht="18.75" hidden="1" thickBot="1">
      <c r="A28" s="76" t="s">
        <v>72</v>
      </c>
      <c r="B28" s="38"/>
      <c r="C28" s="38"/>
      <c r="D28" s="38"/>
      <c r="E28" s="1"/>
      <c r="F28" s="1" t="e">
        <f t="shared" si="3"/>
        <v>#DIV/0!</v>
      </c>
      <c r="G28" s="1" t="e">
        <f t="shared" si="0"/>
        <v>#DIV/0!</v>
      </c>
      <c r="H28" s="39">
        <f t="shared" si="2"/>
        <v>0</v>
      </c>
      <c r="I28" s="39">
        <f t="shared" si="1"/>
        <v>0</v>
      </c>
      <c r="K28" s="95"/>
    </row>
    <row r="29" spans="1:11" ht="39.75" customHeight="1" hidden="1">
      <c r="A29" s="76" t="s">
        <v>73</v>
      </c>
      <c r="B29" s="38"/>
      <c r="C29" s="38"/>
      <c r="D29" s="38"/>
      <c r="E29" s="1"/>
      <c r="F29" s="1" t="e">
        <f t="shared" si="3"/>
        <v>#DIV/0!</v>
      </c>
      <c r="G29" s="1" t="e">
        <f t="shared" si="0"/>
        <v>#DIV/0!</v>
      </c>
      <c r="H29" s="39">
        <f t="shared" si="2"/>
        <v>0</v>
      </c>
      <c r="I29" s="39">
        <f t="shared" si="1"/>
        <v>0</v>
      </c>
      <c r="K29" s="95"/>
    </row>
    <row r="30" spans="1:11" ht="37.5" customHeight="1" hidden="1">
      <c r="A30" s="76" t="s">
        <v>74</v>
      </c>
      <c r="B30" s="38"/>
      <c r="C30" s="38"/>
      <c r="D30" s="38"/>
      <c r="E30" s="1"/>
      <c r="F30" s="1" t="e">
        <f>D30/B30*100</f>
        <v>#DIV/0!</v>
      </c>
      <c r="G30" s="1" t="e">
        <f t="shared" si="0"/>
        <v>#DIV/0!</v>
      </c>
      <c r="H30" s="39">
        <f t="shared" si="2"/>
        <v>0</v>
      </c>
      <c r="I30" s="39">
        <f t="shared" si="1"/>
        <v>0</v>
      </c>
      <c r="K30" s="95"/>
    </row>
    <row r="31" spans="1:11" ht="36" customHeight="1" hidden="1">
      <c r="A31" s="76" t="s">
        <v>75</v>
      </c>
      <c r="B31" s="38"/>
      <c r="C31" s="38"/>
      <c r="D31" s="38"/>
      <c r="E31" s="1"/>
      <c r="F31" s="1" t="e">
        <f t="shared" si="3"/>
        <v>#DIV/0!</v>
      </c>
      <c r="G31" s="1" t="e">
        <f t="shared" si="0"/>
        <v>#DIV/0!</v>
      </c>
      <c r="H31" s="39">
        <f t="shared" si="2"/>
        <v>0</v>
      </c>
      <c r="I31" s="39">
        <f t="shared" si="1"/>
        <v>0</v>
      </c>
      <c r="K31" s="95"/>
    </row>
    <row r="32" spans="1:11" ht="18.75" hidden="1" thickBot="1">
      <c r="A32" s="76" t="s">
        <v>76</v>
      </c>
      <c r="B32" s="38"/>
      <c r="C32" s="38"/>
      <c r="D32" s="38"/>
      <c r="E32" s="1"/>
      <c r="F32" s="1" t="e">
        <f t="shared" si="3"/>
        <v>#DIV/0!</v>
      </c>
      <c r="G32" s="1" t="e">
        <f t="shared" si="0"/>
        <v>#DIV/0!</v>
      </c>
      <c r="H32" s="39">
        <f t="shared" si="2"/>
        <v>0</v>
      </c>
      <c r="I32" s="39">
        <f t="shared" si="1"/>
        <v>0</v>
      </c>
      <c r="K32" s="95"/>
    </row>
    <row r="33" spans="1:11" ht="18.75" thickBot="1">
      <c r="A33" s="20" t="s">
        <v>17</v>
      </c>
      <c r="B33" s="40">
        <v>58869.65129</v>
      </c>
      <c r="C33" s="41">
        <f>67303.3-3099.2+301.7+44-104+255.7+122+221-122.1</f>
        <v>64922.4</v>
      </c>
      <c r="D33" s="44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+1690.8+154.2+18+16.1+9.2+4.2+70.1+0.2+270.2+2075.5+343+134.2+3+2337.9+138.7+43.6+142.2+95.1+2198.1+39.8+92.2-9.1+0.1+59.9+54.3+0.8+2147.1+244.6+4.8+209.6+11.3+338.5-0.1+2523.4</f>
        <v>52637.699999999975</v>
      </c>
      <c r="E33" s="3">
        <f>D33/D151*100</f>
        <v>3.4374367982586356</v>
      </c>
      <c r="F33" s="3">
        <f>D33/B33*100</f>
        <v>89.41398300577563</v>
      </c>
      <c r="G33" s="3">
        <f t="shared" si="0"/>
        <v>81.0778714280433</v>
      </c>
      <c r="H33" s="42">
        <f t="shared" si="2"/>
        <v>6231.951290000026</v>
      </c>
      <c r="I33" s="42">
        <f t="shared" si="1"/>
        <v>12284.700000000026</v>
      </c>
      <c r="K33" s="95"/>
    </row>
    <row r="34" spans="1:9" s="99" customFormat="1" ht="18">
      <c r="A34" s="109" t="s">
        <v>3</v>
      </c>
      <c r="B34" s="137">
        <v>48244.7</v>
      </c>
      <c r="C34" s="138">
        <f>55535.9-3105.8+301.7+122.2+18.9</f>
        <v>52872.899999999994</v>
      </c>
      <c r="D34" s="111">
        <f>1743.2+1833.7+1830.2+1935.3+81+1854.2+129.9+1804.7+34.4+1.5+1881.6+1967.7+0.1+1784.4+235.6+2357.6-0.1+6335.8+2919.9+53.7+142.8+686.6+728.3+0.1+8.8+87.6+495.7+1689.4+9.2+4.2+70.1+2075.5+2129.1+113+4.5+2132.8-9.1+2045.9+241.3+11.3+2514.5</f>
        <v>43966.00000000001</v>
      </c>
      <c r="E34" s="113">
        <f>D34/D33*100</f>
        <v>83.52568596272259</v>
      </c>
      <c r="F34" s="113">
        <f t="shared" si="3"/>
        <v>91.13125379575375</v>
      </c>
      <c r="G34" s="113">
        <f t="shared" si="0"/>
        <v>83.15412999854371</v>
      </c>
      <c r="H34" s="111">
        <f t="shared" si="2"/>
        <v>4278.69999999999</v>
      </c>
      <c r="I34" s="111">
        <f t="shared" si="1"/>
        <v>8906.899999999987</v>
      </c>
    </row>
    <row r="35" spans="1:9" s="99" customFormat="1" ht="18" hidden="1">
      <c r="A35" s="109" t="s">
        <v>1</v>
      </c>
      <c r="B35" s="137"/>
      <c r="C35" s="138"/>
      <c r="D35" s="111"/>
      <c r="E35" s="113">
        <f>D35/D33*100</f>
        <v>0</v>
      </c>
      <c r="F35" s="113" t="e">
        <f t="shared" si="3"/>
        <v>#DIV/0!</v>
      </c>
      <c r="G35" s="113" t="e">
        <f t="shared" si="0"/>
        <v>#DIV/0!</v>
      </c>
      <c r="H35" s="111">
        <f t="shared" si="2"/>
        <v>0</v>
      </c>
      <c r="I35" s="111">
        <f t="shared" si="1"/>
        <v>0</v>
      </c>
    </row>
    <row r="36" spans="1:9" s="99" customFormat="1" ht="18">
      <c r="A36" s="109" t="s">
        <v>0</v>
      </c>
      <c r="B36" s="137">
        <v>2587.6563300000003</v>
      </c>
      <c r="C36" s="138">
        <f>2945.3+133.6+0.3</f>
        <v>3079.2000000000003</v>
      </c>
      <c r="D36" s="111">
        <f>5.4+1.2+41.8+16.1+2.9+29.7+160.9+0.8+93.4+46.9+11.2+0.1+15.2+184.7+9.2+183.2+0.9+11.9+0.1+174+0.1+59.2+12.8+2+8.2+325.6+7.6-0.1+53.7+13.4+10.7+7.4+0.6+1.6+1.5+8.1+1.8+9.7+0.1+1+17.2-0.3+3.2+3.8+10.2+6.6+6.3+7.9+2+3.1+1.1+24.5+23.5+0.9</f>
        <v>1624.6</v>
      </c>
      <c r="E36" s="113">
        <f>D36/D33*100</f>
        <v>3.086381053883435</v>
      </c>
      <c r="F36" s="113">
        <f t="shared" si="3"/>
        <v>62.78268026419103</v>
      </c>
      <c r="G36" s="113">
        <f t="shared" si="0"/>
        <v>52.76045726162639</v>
      </c>
      <c r="H36" s="111">
        <f t="shared" si="2"/>
        <v>963.0563300000003</v>
      </c>
      <c r="I36" s="111">
        <f t="shared" si="1"/>
        <v>1454.6000000000004</v>
      </c>
    </row>
    <row r="37" spans="1:12" s="119" customFormat="1" ht="18">
      <c r="A37" s="126" t="s">
        <v>7</v>
      </c>
      <c r="B37" s="148">
        <v>690.2</v>
      </c>
      <c r="C37" s="149">
        <f>856.1-104</f>
        <v>752.1</v>
      </c>
      <c r="D37" s="116">
        <f>7.4+12.3+6.1+3.3+9.3+3.2+58.1+36.7+24.4+18.9-18.9+0.1+12+83.3+21.3+10.7+4.7+55.2+2.2+22.4+77.9+16.1+3.3+3+43.6+88+51+4.8</f>
        <v>660.4</v>
      </c>
      <c r="E37" s="121">
        <f>D37/D33*100</f>
        <v>1.2546140883815218</v>
      </c>
      <c r="F37" s="121">
        <f t="shared" si="3"/>
        <v>95.68241089539264</v>
      </c>
      <c r="G37" s="121">
        <f t="shared" si="0"/>
        <v>87.8074724105837</v>
      </c>
      <c r="H37" s="116">
        <f t="shared" si="2"/>
        <v>29.800000000000068</v>
      </c>
      <c r="I37" s="116">
        <f t="shared" si="1"/>
        <v>91.70000000000005</v>
      </c>
      <c r="L37" s="150"/>
    </row>
    <row r="38" spans="1:9" s="99" customFormat="1" ht="18">
      <c r="A38" s="109" t="s">
        <v>14</v>
      </c>
      <c r="B38" s="137">
        <v>75.7</v>
      </c>
      <c r="C38" s="138">
        <v>80.8</v>
      </c>
      <c r="D38" s="138">
        <f>5.1+5.1+5.1+5.1+5.1+3.3</f>
        <v>28.8</v>
      </c>
      <c r="E38" s="113">
        <f>D38/D33*100</f>
        <v>0.05471363680403971</v>
      </c>
      <c r="F38" s="113">
        <f t="shared" si="3"/>
        <v>38.0449141347424</v>
      </c>
      <c r="G38" s="113">
        <f t="shared" si="0"/>
        <v>35.64356435643565</v>
      </c>
      <c r="H38" s="111">
        <f t="shared" si="2"/>
        <v>46.900000000000006</v>
      </c>
      <c r="I38" s="111">
        <f t="shared" si="1"/>
        <v>52</v>
      </c>
    </row>
    <row r="39" spans="1:9" s="99" customFormat="1" ht="18.75" thickBot="1">
      <c r="A39" s="109" t="s">
        <v>28</v>
      </c>
      <c r="B39" s="137">
        <f>B33-B34-B36-B37-B35-B38</f>
        <v>7271.394960000005</v>
      </c>
      <c r="C39" s="137">
        <f>C33-C34-C36-C37-C35-C38</f>
        <v>8137.400000000006</v>
      </c>
      <c r="D39" s="137">
        <f>D33-D34-D36-D37-D35-D38</f>
        <v>6357.899999999968</v>
      </c>
      <c r="E39" s="113">
        <f>D39/D33*100</f>
        <v>12.078605258208414</v>
      </c>
      <c r="F39" s="113">
        <f t="shared" si="3"/>
        <v>87.43714287251375</v>
      </c>
      <c r="G39" s="113">
        <f t="shared" si="0"/>
        <v>78.13183572148307</v>
      </c>
      <c r="H39" s="111">
        <f>B39-D39</f>
        <v>913.4949600000373</v>
      </c>
      <c r="I39" s="111">
        <f t="shared" si="1"/>
        <v>1779.5000000000382</v>
      </c>
    </row>
    <row r="40" spans="1:11" ht="18.75" hidden="1" thickBot="1">
      <c r="A40" s="76" t="s">
        <v>67</v>
      </c>
      <c r="B40" s="77"/>
      <c r="C40" s="77"/>
      <c r="D40" s="77"/>
      <c r="E40" s="75"/>
      <c r="F40" s="75" t="e">
        <f t="shared" si="3"/>
        <v>#DIV/0!</v>
      </c>
      <c r="G40" s="75" t="e">
        <f t="shared" si="0"/>
        <v>#DIV/0!</v>
      </c>
      <c r="H40" s="81">
        <f>B40-D40</f>
        <v>0</v>
      </c>
      <c r="I40" s="81">
        <f t="shared" si="1"/>
        <v>0</v>
      </c>
      <c r="K40" s="95"/>
    </row>
    <row r="41" spans="1:11" ht="18.75" hidden="1" thickBot="1">
      <c r="A41" s="76" t="s">
        <v>68</v>
      </c>
      <c r="B41" s="77"/>
      <c r="C41" s="77"/>
      <c r="D41" s="77"/>
      <c r="E41" s="75"/>
      <c r="F41" s="75" t="e">
        <f t="shared" si="3"/>
        <v>#DIV/0!</v>
      </c>
      <c r="G41" s="75" t="e">
        <f t="shared" si="0"/>
        <v>#DIV/0!</v>
      </c>
      <c r="H41" s="81">
        <f>B41-D41</f>
        <v>0</v>
      </c>
      <c r="I41" s="81">
        <f t="shared" si="1"/>
        <v>0</v>
      </c>
      <c r="K41" s="95"/>
    </row>
    <row r="42" spans="1:11" ht="18.75" hidden="1" thickBot="1">
      <c r="A42" s="76" t="s">
        <v>69</v>
      </c>
      <c r="B42" s="77"/>
      <c r="C42" s="77"/>
      <c r="D42" s="77"/>
      <c r="E42" s="75"/>
      <c r="F42" s="75"/>
      <c r="G42" s="75" t="e">
        <f t="shared" si="0"/>
        <v>#DIV/0!</v>
      </c>
      <c r="H42" s="81">
        <f>B42-D42</f>
        <v>0</v>
      </c>
      <c r="I42" s="81">
        <f t="shared" si="1"/>
        <v>0</v>
      </c>
      <c r="K42" s="95"/>
    </row>
    <row r="43" spans="1:11" ht="18.75" thickBot="1">
      <c r="A43" s="12" t="s">
        <v>16</v>
      </c>
      <c r="B43" s="78">
        <v>2176</v>
      </c>
      <c r="C43" s="41">
        <f>1548.6+6.6+21.9+503.3+153.3+3.3</f>
        <v>2237.0000000000005</v>
      </c>
      <c r="D43" s="42">
        <f>29.1+22+50.2+8.1+0.6+111.5+89.2+3+14.7+7.1+8.4+11.5+17.6+100.3+27.2+6.2-0.1+30.1+12.7+5+6.1+5+7.2+55.8+7.4+109.8-0.1+35+11.8+22.6+27.4+6.5+3.2+63.8+35.8+6.6+2.7+4+0.2+6.5+6.9+61+27.1-0.1+3.2+4.7+2.4+51.9+11+53.3-0.1+65.1+0.4+11+9.8+53+2.5+1.3+0.2+1.5+55.8+50.7</f>
        <v>1444.3000000000002</v>
      </c>
      <c r="E43" s="3">
        <f>D43/D151*100</f>
        <v>0.0943181401870703</v>
      </c>
      <c r="F43" s="3">
        <f>D43/B43*100</f>
        <v>66.37408088235294</v>
      </c>
      <c r="G43" s="3">
        <f t="shared" si="0"/>
        <v>64.56414841305319</v>
      </c>
      <c r="H43" s="42">
        <f t="shared" si="2"/>
        <v>731.6999999999998</v>
      </c>
      <c r="I43" s="42">
        <f t="shared" si="1"/>
        <v>792.7000000000003</v>
      </c>
      <c r="K43" s="95"/>
    </row>
    <row r="44" spans="1:11" ht="12" customHeight="1" thickBot="1">
      <c r="A44" s="23"/>
      <c r="B44" s="48"/>
      <c r="C44" s="49"/>
      <c r="D44" s="50"/>
      <c r="E44" s="7"/>
      <c r="F44" s="7"/>
      <c r="G44" s="7"/>
      <c r="H44" s="50"/>
      <c r="I44" s="50"/>
      <c r="K44" s="95"/>
    </row>
    <row r="45" spans="1:11" ht="18.75" thickBot="1">
      <c r="A45" s="20" t="s">
        <v>45</v>
      </c>
      <c r="B45" s="40">
        <v>10722.279</v>
      </c>
      <c r="C45" s="41">
        <v>11788</v>
      </c>
      <c r="D45" s="42">
        <f>102.9+155.5+3.1+3.7+452.3+6+17.2+314.1+59.3+95.2+2.2+579+1.9+71.6+375.2+7+7.3+568.3+0.1+96.1+326.4+4.1+518.1-0.1+350+35.2+5.1+556.7+19.5+326.2+24.6+1+691.6+365.3+4.1+585.4+328.4+3.5+1.9+509.6-0.1+18.5+0.1+311.5+518.9+25.3+320.2+4.8+8.1+758.7+371.6-0.1</f>
        <v>9912.1</v>
      </c>
      <c r="E45" s="3">
        <f>D45/D151*100</f>
        <v>0.6472968478489645</v>
      </c>
      <c r="F45" s="3">
        <f>D45/B45*100</f>
        <v>92.44396643661297</v>
      </c>
      <c r="G45" s="3">
        <f aca="true" t="shared" si="4" ref="G45:G76">D45/C45*100</f>
        <v>84.08635900916185</v>
      </c>
      <c r="H45" s="42">
        <f>B45-D45</f>
        <v>810.1790000000001</v>
      </c>
      <c r="I45" s="42">
        <f aca="true" t="shared" si="5" ref="I45:I77">C45-D45</f>
        <v>1875.8999999999996</v>
      </c>
      <c r="K45" s="95"/>
    </row>
    <row r="46" spans="1:9" s="99" customFormat="1" ht="18">
      <c r="A46" s="109" t="s">
        <v>3</v>
      </c>
      <c r="B46" s="137">
        <v>9678.196</v>
      </c>
      <c r="C46" s="138">
        <v>10529.7</v>
      </c>
      <c r="D46" s="111">
        <f>102.7+154.9+447.3+314.1+572.1+284.8+559+325.4+510.8+301.6+29.6+556.7+0.1+311.9+684.4+334.8+585.4+305.3+503.4-0.1+18+293.3+510.8+310.5+0.1+758.7+314.8</f>
        <v>9090.4</v>
      </c>
      <c r="E46" s="113">
        <f>D46/D45*100</f>
        <v>91.71013206081456</v>
      </c>
      <c r="F46" s="113">
        <f aca="true" t="shared" si="6" ref="F46:F74">D46/B46*100</f>
        <v>93.92659541096296</v>
      </c>
      <c r="G46" s="113">
        <f t="shared" si="4"/>
        <v>86.331044569171</v>
      </c>
      <c r="H46" s="111">
        <f aca="true" t="shared" si="7" ref="H46:H74">B46-D46</f>
        <v>587.7960000000003</v>
      </c>
      <c r="I46" s="111">
        <f t="shared" si="5"/>
        <v>1439.300000000001</v>
      </c>
    </row>
    <row r="47" spans="1:9" s="99" customFormat="1" ht="18">
      <c r="A47" s="109" t="s">
        <v>2</v>
      </c>
      <c r="B47" s="137">
        <v>1.38</v>
      </c>
      <c r="C47" s="138">
        <v>1.4</v>
      </c>
      <c r="D47" s="111">
        <f>0.4+0.4</f>
        <v>0.8</v>
      </c>
      <c r="E47" s="113">
        <f>D47/D45*100</f>
        <v>0.008070943594192956</v>
      </c>
      <c r="F47" s="113">
        <f t="shared" si="6"/>
        <v>57.97101449275364</v>
      </c>
      <c r="G47" s="113">
        <f t="shared" si="4"/>
        <v>57.14285714285715</v>
      </c>
      <c r="H47" s="111">
        <f t="shared" si="7"/>
        <v>0.5799999999999998</v>
      </c>
      <c r="I47" s="111">
        <f t="shared" si="5"/>
        <v>0.5999999999999999</v>
      </c>
    </row>
    <row r="48" spans="1:9" s="99" customFormat="1" ht="18">
      <c r="A48" s="109" t="s">
        <v>1</v>
      </c>
      <c r="B48" s="137">
        <v>64.352</v>
      </c>
      <c r="C48" s="138">
        <f>73.4+0.9+0.1</f>
        <v>74.4</v>
      </c>
      <c r="D48" s="111">
        <f>5.4+5.6+7.3+6+2.1+4.3+6.6+2.2+4.2+6.4</f>
        <v>50.10000000000001</v>
      </c>
      <c r="E48" s="113">
        <f>D48/D45*100</f>
        <v>0.5054428425863339</v>
      </c>
      <c r="F48" s="113">
        <f t="shared" si="6"/>
        <v>77.85305818000995</v>
      </c>
      <c r="G48" s="113">
        <f t="shared" si="4"/>
        <v>67.33870967741936</v>
      </c>
      <c r="H48" s="111">
        <f t="shared" si="7"/>
        <v>14.251999999999995</v>
      </c>
      <c r="I48" s="111">
        <f t="shared" si="5"/>
        <v>24.299999999999997</v>
      </c>
    </row>
    <row r="49" spans="1:9" s="99" customFormat="1" ht="18">
      <c r="A49" s="109" t="s">
        <v>0</v>
      </c>
      <c r="B49" s="137">
        <v>688.602</v>
      </c>
      <c r="C49" s="138">
        <v>865.1</v>
      </c>
      <c r="D49" s="111">
        <f>3.1+3.5+1+0.7+59.3+95.2+2.2+6-0.1+53.5+89.7+6.2+7.2+73.9+0.4+4+3.2+30.6+0.2+2.7+3.1+5.4+3.6+1.3+5+0.5+0.4+4.8+0.7+0.5+6.7+33.4</f>
        <v>507.8999999999999</v>
      </c>
      <c r="E49" s="113">
        <f>D49/D45*100</f>
        <v>5.124040314363252</v>
      </c>
      <c r="F49" s="113">
        <f t="shared" si="6"/>
        <v>73.75813604956127</v>
      </c>
      <c r="G49" s="113">
        <f t="shared" si="4"/>
        <v>58.709975725349665</v>
      </c>
      <c r="H49" s="111">
        <f t="shared" si="7"/>
        <v>180.70200000000006</v>
      </c>
      <c r="I49" s="111">
        <f t="shared" si="5"/>
        <v>357.2000000000001</v>
      </c>
    </row>
    <row r="50" spans="1:9" s="99" customFormat="1" ht="18.75" thickBot="1">
      <c r="A50" s="109" t="s">
        <v>28</v>
      </c>
      <c r="B50" s="138">
        <f>B45-B46-B49-B48-B47</f>
        <v>289.7490000000006</v>
      </c>
      <c r="C50" s="138">
        <f>C45-C46-C49-C48-C47</f>
        <v>317.3999999999993</v>
      </c>
      <c r="D50" s="138">
        <f>D45-D46-D49-D48-D47</f>
        <v>262.9000000000008</v>
      </c>
      <c r="E50" s="113">
        <f>D50/D45*100</f>
        <v>2.6523138386416676</v>
      </c>
      <c r="F50" s="113">
        <f t="shared" si="6"/>
        <v>90.73370399897851</v>
      </c>
      <c r="G50" s="113">
        <f t="shared" si="4"/>
        <v>82.8292375551359</v>
      </c>
      <c r="H50" s="111">
        <f t="shared" si="7"/>
        <v>26.84899999999982</v>
      </c>
      <c r="I50" s="111">
        <f t="shared" si="5"/>
        <v>54.49999999999852</v>
      </c>
    </row>
    <row r="51" spans="1:11" ht="18.75" thickBot="1">
      <c r="A51" s="20" t="s">
        <v>4</v>
      </c>
      <c r="B51" s="40">
        <v>22609.7</v>
      </c>
      <c r="C51" s="41">
        <f>23558.7+50+2250-940.4-1250+76.8+148+18.8+1058.7</f>
        <v>24970.6</v>
      </c>
      <c r="D51" s="42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+545.9+134.5+23.1+14.2+56.1+41.6+479+67.6+82.8+324.3+769.9+9+126.6+499.4+127.5+67.9-0.1+5.3+29.4+1.1+359.6+963.2+55.9+13.3+47.3+43.3-0.1+755.5</f>
        <v>19605.100000000002</v>
      </c>
      <c r="E51" s="3">
        <f>D51/D151*100</f>
        <v>1.2802856540756988</v>
      </c>
      <c r="F51" s="3">
        <f>D51/B51*100</f>
        <v>86.7110134145964</v>
      </c>
      <c r="G51" s="3">
        <f t="shared" si="4"/>
        <v>78.51273097162264</v>
      </c>
      <c r="H51" s="42">
        <f>B51-D51</f>
        <v>3004.5999999999985</v>
      </c>
      <c r="I51" s="42">
        <f t="shared" si="5"/>
        <v>5365.499999999996</v>
      </c>
      <c r="K51" s="95"/>
    </row>
    <row r="52" spans="1:9" s="99" customFormat="1" ht="18">
      <c r="A52" s="109" t="s">
        <v>3</v>
      </c>
      <c r="B52" s="137">
        <v>13609.874</v>
      </c>
      <c r="C52" s="138">
        <f>16189.8-940.4</f>
        <v>15249.4</v>
      </c>
      <c r="D52" s="111">
        <f>392.4+738.8+389.6+752.9+403.1+730.4+397.8+724.9+1.1+0.1+403+795.7+527.1+1240.6+386.5+33.7+705.7+0.1+5.8+226.6+536.1+14.2+2.1+376.1+1.7+154.2+769.9+9+398.1-0.1+5.3+1.1+963.2+13.3+716.5</f>
        <v>12816.600000000002</v>
      </c>
      <c r="E52" s="113">
        <f>D52/D51*100</f>
        <v>65.37380579543078</v>
      </c>
      <c r="F52" s="113">
        <f t="shared" si="6"/>
        <v>94.17133472359849</v>
      </c>
      <c r="G52" s="113">
        <f t="shared" si="4"/>
        <v>84.04658543942715</v>
      </c>
      <c r="H52" s="111">
        <f t="shared" si="7"/>
        <v>793.2739999999976</v>
      </c>
      <c r="I52" s="111">
        <f t="shared" si="5"/>
        <v>2432.7999999999975</v>
      </c>
    </row>
    <row r="53" spans="1:9" s="99" customFormat="1" ht="18">
      <c r="A53" s="109" t="s">
        <v>2</v>
      </c>
      <c r="B53" s="137">
        <v>9.75</v>
      </c>
      <c r="C53" s="138">
        <v>13</v>
      </c>
      <c r="D53" s="111">
        <v>1.6</v>
      </c>
      <c r="E53" s="113">
        <f>D53/D51*100</f>
        <v>0.008161141743729948</v>
      </c>
      <c r="F53" s="113">
        <f>D53/B53*100</f>
        <v>16.41025641025641</v>
      </c>
      <c r="G53" s="113">
        <f t="shared" si="4"/>
        <v>12.307692307692308</v>
      </c>
      <c r="H53" s="111">
        <f t="shared" si="7"/>
        <v>8.15</v>
      </c>
      <c r="I53" s="111">
        <f t="shared" si="5"/>
        <v>11.4</v>
      </c>
    </row>
    <row r="54" spans="1:9" s="99" customFormat="1" ht="18">
      <c r="A54" s="109" t="s">
        <v>1</v>
      </c>
      <c r="B54" s="137">
        <v>744.5</v>
      </c>
      <c r="C54" s="138">
        <v>810.2</v>
      </c>
      <c r="D54" s="111">
        <f>1.9+1.9+0.5+7.4+2.1+1.2+12.9+5.1+0.1+4.5+16.8+19.2+9.7+3.1+1.1+1.4+2.5+5.7+19.9+0.8+28.2+4+19.8+8.2+38.7+4.3+0.2+18.2+4.3+27.9+3.9+3+21+4+9.4+2.4+4.7+1.2+8.1+6.9+10.9+0.1+38.9+5.3+2.8+0.1+3+2.2+20.1+27.7+3.6+38.3+19.9+5.8+2.6+7.8+14.9+0.8+17.5-0.1</f>
        <v>558.3999999999997</v>
      </c>
      <c r="E54" s="113">
        <f>D54/D51*100</f>
        <v>2.84823846856175</v>
      </c>
      <c r="F54" s="113">
        <f t="shared" si="6"/>
        <v>75.00335795836128</v>
      </c>
      <c r="G54" s="113">
        <f t="shared" si="4"/>
        <v>68.92125401135519</v>
      </c>
      <c r="H54" s="111">
        <f t="shared" si="7"/>
        <v>186.10000000000025</v>
      </c>
      <c r="I54" s="111">
        <f t="shared" si="5"/>
        <v>251.8000000000003</v>
      </c>
    </row>
    <row r="55" spans="1:9" s="99" customFormat="1" ht="18">
      <c r="A55" s="109" t="s">
        <v>0</v>
      </c>
      <c r="B55" s="137">
        <v>861.918</v>
      </c>
      <c r="C55" s="138">
        <f>1048.5+14.2</f>
        <v>1062.7</v>
      </c>
      <c r="D55" s="111">
        <f>0.5+0.6+7.5+73.9+2.1+51.2+20.8+16.3+5.9+0.4+16.8+14.9+10.4+71.4+0.3+1.2+1.4+16+1.2+0.1+25+43+3.8+1.3+4.1+73.9-0.2+14.3+2.8+3+2.4+0.3+0.4+1.3+1.5+2+0.6+0.5+3+1.3+1.4+2+1.4+0.2+0.3+0.2+0.6+0.1-0.1+0.5+38.9+0.3+0.6+11.4+1.9+2.3+0.2+2+13.1+4.4-0.2</f>
        <v>578.7</v>
      </c>
      <c r="E55" s="113">
        <f>D55/D51*100</f>
        <v>2.951782954435325</v>
      </c>
      <c r="F55" s="113">
        <f t="shared" si="6"/>
        <v>67.14095772451672</v>
      </c>
      <c r="G55" s="113">
        <f t="shared" si="4"/>
        <v>54.455631881057684</v>
      </c>
      <c r="H55" s="111">
        <f t="shared" si="7"/>
        <v>283.21799999999996</v>
      </c>
      <c r="I55" s="111">
        <f t="shared" si="5"/>
        <v>484</v>
      </c>
    </row>
    <row r="56" spans="1:9" s="99" customFormat="1" ht="18">
      <c r="A56" s="109" t="s">
        <v>14</v>
      </c>
      <c r="B56" s="137">
        <v>469.362</v>
      </c>
      <c r="C56" s="138">
        <v>518.9</v>
      </c>
      <c r="D56" s="138">
        <f>34+46+40+40+40+40+40+40+38+2+40</f>
        <v>400</v>
      </c>
      <c r="E56" s="113">
        <f>D56/D51*100</f>
        <v>2.0402854359324865</v>
      </c>
      <c r="F56" s="113">
        <f>D56/B56*100</f>
        <v>85.2220674021331</v>
      </c>
      <c r="G56" s="113">
        <f>D56/C56*100</f>
        <v>77.08614376565812</v>
      </c>
      <c r="H56" s="111">
        <f t="shared" si="7"/>
        <v>69.36200000000002</v>
      </c>
      <c r="I56" s="111">
        <f t="shared" si="5"/>
        <v>118.89999999999998</v>
      </c>
    </row>
    <row r="57" spans="1:9" s="99" customFormat="1" ht="18.75" thickBot="1">
      <c r="A57" s="109" t="s">
        <v>28</v>
      </c>
      <c r="B57" s="138">
        <f>B51-B52-B55-B54-B53-B56</f>
        <v>6914.296000000001</v>
      </c>
      <c r="C57" s="138">
        <f>C51-C52-C55-C54-C53-C56</f>
        <v>7316.399999999999</v>
      </c>
      <c r="D57" s="138">
        <f>D51-D52-D55-D54-D53-D56</f>
        <v>5249.8</v>
      </c>
      <c r="E57" s="113">
        <f>D57/D51*100</f>
        <v>26.777726203895924</v>
      </c>
      <c r="F57" s="113">
        <f t="shared" si="6"/>
        <v>75.92674655525305</v>
      </c>
      <c r="G57" s="113">
        <f t="shared" si="4"/>
        <v>71.75386802252476</v>
      </c>
      <c r="H57" s="111">
        <f>B57-D57</f>
        <v>1664.496000000001</v>
      </c>
      <c r="I57" s="111">
        <f>C57-D57</f>
        <v>2066.5999999999985</v>
      </c>
    </row>
    <row r="58" spans="1:11" s="32" customFormat="1" ht="18.75" hidden="1" thickBot="1">
      <c r="A58" s="76" t="s">
        <v>66</v>
      </c>
      <c r="B58" s="74"/>
      <c r="C58" s="74"/>
      <c r="D58" s="74"/>
      <c r="E58" s="1"/>
      <c r="F58" s="75" t="e">
        <f t="shared" si="6"/>
        <v>#DIV/0!</v>
      </c>
      <c r="G58" s="75" t="e">
        <f t="shared" si="4"/>
        <v>#DIV/0!</v>
      </c>
      <c r="H58" s="81">
        <f t="shared" si="7"/>
        <v>0</v>
      </c>
      <c r="I58" s="81">
        <f>C58-D58</f>
        <v>0</v>
      </c>
      <c r="K58" s="96"/>
    </row>
    <row r="59" spans="1:11" ht="18.75" thickBot="1">
      <c r="A59" s="20" t="s">
        <v>6</v>
      </c>
      <c r="B59" s="40">
        <v>4301.411</v>
      </c>
      <c r="C59" s="41">
        <f>7844.6+200-378.5+50-3400+500-0.1</f>
        <v>4816</v>
      </c>
      <c r="D59" s="42">
        <f>55.6+0.2+146.1+0.4+60.8+0.4+59.3+73.6+0.1+18.6+1.9+67.3+0.4+57.5+0.6+144.6-4.5+32.9+1.2+79.7+73.5+4+0.1+78.7+72.2+0.1+9.9+53+0.1+12.7+6.3+29.9+85.7+69.4+15.3+39.7+11.2+39.1+0.1+101.9+64.5+93.3+45.9+65.6+272.8+119.4-0.1+76.5+37.7+49.7+0.9+102.7+8.7+65.9+60.6+0.6+30.4+31.3+137.8+5+19.5+67.5+70.7+3+75.8+6+459.9+157.2+33.2-0.1+44.8</f>
        <v>3706.3</v>
      </c>
      <c r="E59" s="3">
        <f>D59/D151*100</f>
        <v>0.24203511941794545</v>
      </c>
      <c r="F59" s="3">
        <f>D59/B59*100</f>
        <v>86.16474919508971</v>
      </c>
      <c r="G59" s="3">
        <f t="shared" si="4"/>
        <v>76.95805647840533</v>
      </c>
      <c r="H59" s="42">
        <f>B59-D59</f>
        <v>595.1109999999999</v>
      </c>
      <c r="I59" s="42">
        <f t="shared" si="5"/>
        <v>1109.6999999999998</v>
      </c>
      <c r="K59" s="95"/>
    </row>
    <row r="60" spans="1:9" s="99" customFormat="1" ht="18">
      <c r="A60" s="109" t="s">
        <v>3</v>
      </c>
      <c r="B60" s="137">
        <v>2344.64772</v>
      </c>
      <c r="C60" s="138">
        <f>2900.3-339.6</f>
        <v>2560.7000000000003</v>
      </c>
      <c r="D60" s="111">
        <f>55.6+146.1+60.8+59.3+73.6+0.1+67.3+144.6-4.5+79.7+66.8+72.2-0.1+53+75.7+69.4+0.1+39.1+101.5+64.4+45.9+60.8+119.4+37.7+47.7+65.9+60.6-0.1+31.3+40.6+67.5+63.7+74.8+157.2+31.9+0.1+44.8</f>
        <v>2174.5000000000005</v>
      </c>
      <c r="E60" s="113">
        <f>D60/D59*100</f>
        <v>58.67037206917951</v>
      </c>
      <c r="F60" s="113">
        <f t="shared" si="6"/>
        <v>92.743143520085</v>
      </c>
      <c r="G60" s="113">
        <f t="shared" si="4"/>
        <v>84.91818643339712</v>
      </c>
      <c r="H60" s="111">
        <f t="shared" si="7"/>
        <v>170.14771999999948</v>
      </c>
      <c r="I60" s="111">
        <f t="shared" si="5"/>
        <v>386.1999999999998</v>
      </c>
    </row>
    <row r="61" spans="1:9" s="99" customFormat="1" ht="18">
      <c r="A61" s="109" t="s">
        <v>1</v>
      </c>
      <c r="B61" s="137">
        <v>343.7</v>
      </c>
      <c r="C61" s="138">
        <f>337.1+6.6</f>
        <v>343.70000000000005</v>
      </c>
      <c r="D61" s="111">
        <f>3.2+187.7+74.6+71.5</f>
        <v>337</v>
      </c>
      <c r="E61" s="113">
        <f>D61/D59*100</f>
        <v>9.092626069125542</v>
      </c>
      <c r="F61" s="113">
        <f>D61/B61*100</f>
        <v>98.0506255455339</v>
      </c>
      <c r="G61" s="113">
        <f t="shared" si="4"/>
        <v>98.05062554553389</v>
      </c>
      <c r="H61" s="111">
        <f t="shared" si="7"/>
        <v>6.699999999999989</v>
      </c>
      <c r="I61" s="111">
        <f t="shared" si="5"/>
        <v>6.7000000000000455</v>
      </c>
    </row>
    <row r="62" spans="1:9" s="99" customFormat="1" ht="18">
      <c r="A62" s="109" t="s">
        <v>0</v>
      </c>
      <c r="B62" s="137">
        <v>339.07553</v>
      </c>
      <c r="C62" s="138">
        <f>451.8-38.9</f>
        <v>412.90000000000003</v>
      </c>
      <c r="D62" s="111">
        <f>0.4+18.6+55.1+0.5+32.9+0.7+67.5+3.7+0.4+6.3+12.6+0.1+4.2+0.1+1.9+0.5+3.8+1+0.1+0.1+2.5-0.1+0.6+0.1+3.3+0.4+5.9+0.7</f>
        <v>223.89999999999998</v>
      </c>
      <c r="E62" s="113">
        <f>D62/D59*100</f>
        <v>6.041065213285486</v>
      </c>
      <c r="F62" s="113">
        <f t="shared" si="6"/>
        <v>66.03248544653162</v>
      </c>
      <c r="G62" s="113">
        <f t="shared" si="4"/>
        <v>54.22620489222572</v>
      </c>
      <c r="H62" s="111">
        <f t="shared" si="7"/>
        <v>115.17553000000004</v>
      </c>
      <c r="I62" s="111">
        <f t="shared" si="5"/>
        <v>189.00000000000006</v>
      </c>
    </row>
    <row r="63" spans="1:9" s="99" customFormat="1" ht="18">
      <c r="A63" s="109" t="s">
        <v>14</v>
      </c>
      <c r="B63" s="137">
        <v>807.142</v>
      </c>
      <c r="C63" s="138">
        <f>3707.1-3400+500</f>
        <v>807.0999999999999</v>
      </c>
      <c r="D63" s="111">
        <f>89.8+459.2</f>
        <v>549</v>
      </c>
      <c r="E63" s="113">
        <f>D63/D59*100</f>
        <v>14.812616355934487</v>
      </c>
      <c r="F63" s="113">
        <f t="shared" si="6"/>
        <v>68.01777134630585</v>
      </c>
      <c r="G63" s="113">
        <f t="shared" si="4"/>
        <v>68.02131086606369</v>
      </c>
      <c r="H63" s="111">
        <f t="shared" si="7"/>
        <v>258.14200000000005</v>
      </c>
      <c r="I63" s="111">
        <f t="shared" si="5"/>
        <v>258.0999999999999</v>
      </c>
    </row>
    <row r="64" spans="1:9" s="99" customFormat="1" ht="18.75" thickBot="1">
      <c r="A64" s="109" t="s">
        <v>28</v>
      </c>
      <c r="B64" s="138">
        <f>B59-B60-B62-B63-B61</f>
        <v>466.84575</v>
      </c>
      <c r="C64" s="138">
        <f>C59-C60-C62-C63-C61</f>
        <v>691.5999999999997</v>
      </c>
      <c r="D64" s="138">
        <f>D59-D60-D62-D63-D61</f>
        <v>421.89999999999964</v>
      </c>
      <c r="E64" s="113">
        <f>D64/D59*100</f>
        <v>11.383320292474965</v>
      </c>
      <c r="F64" s="113">
        <f t="shared" si="6"/>
        <v>90.3724624246873</v>
      </c>
      <c r="G64" s="113">
        <f t="shared" si="4"/>
        <v>61.0034702139965</v>
      </c>
      <c r="H64" s="111">
        <f t="shared" si="7"/>
        <v>44.94575000000037</v>
      </c>
      <c r="I64" s="111">
        <f t="shared" si="5"/>
        <v>269.70000000000005</v>
      </c>
    </row>
    <row r="65" spans="1:11" s="32" customFormat="1" ht="18.75" hidden="1" thickBot="1">
      <c r="A65" s="76" t="s">
        <v>77</v>
      </c>
      <c r="B65" s="74"/>
      <c r="C65" s="74"/>
      <c r="D65" s="74"/>
      <c r="E65" s="75"/>
      <c r="F65" s="75" t="e">
        <f>D65/B65*100</f>
        <v>#DIV/0!</v>
      </c>
      <c r="G65" s="75" t="e">
        <f>D65/C65*100</f>
        <v>#DIV/0!</v>
      </c>
      <c r="H65" s="81">
        <f t="shared" si="7"/>
        <v>0</v>
      </c>
      <c r="I65" s="81">
        <f t="shared" si="5"/>
        <v>0</v>
      </c>
      <c r="K65" s="96"/>
    </row>
    <row r="66" spans="1:11" s="32" customFormat="1" ht="18.75" hidden="1" thickBot="1">
      <c r="A66" s="76" t="s">
        <v>63</v>
      </c>
      <c r="B66" s="74"/>
      <c r="C66" s="74"/>
      <c r="D66" s="74"/>
      <c r="E66" s="75"/>
      <c r="F66" s="75" t="e">
        <f t="shared" si="6"/>
        <v>#DIV/0!</v>
      </c>
      <c r="G66" s="75" t="e">
        <f t="shared" si="4"/>
        <v>#DIV/0!</v>
      </c>
      <c r="H66" s="81">
        <f t="shared" si="7"/>
        <v>0</v>
      </c>
      <c r="I66" s="81">
        <f t="shared" si="5"/>
        <v>0</v>
      </c>
      <c r="K66" s="96"/>
    </row>
    <row r="67" spans="1:11" s="32" customFormat="1" ht="18.75" hidden="1" thickBot="1">
      <c r="A67" s="76" t="s">
        <v>64</v>
      </c>
      <c r="B67" s="74"/>
      <c r="C67" s="74"/>
      <c r="D67" s="74"/>
      <c r="E67" s="75"/>
      <c r="F67" s="75" t="e">
        <f t="shared" si="6"/>
        <v>#DIV/0!</v>
      </c>
      <c r="G67" s="75" t="e">
        <f t="shared" si="4"/>
        <v>#DIV/0!</v>
      </c>
      <c r="H67" s="81">
        <f t="shared" si="7"/>
        <v>0</v>
      </c>
      <c r="I67" s="81">
        <f t="shared" si="5"/>
        <v>0</v>
      </c>
      <c r="K67" s="96"/>
    </row>
    <row r="68" spans="1:11" s="32" customFormat="1" ht="18.75" hidden="1" thickBot="1">
      <c r="A68" s="76" t="s">
        <v>65</v>
      </c>
      <c r="B68" s="74"/>
      <c r="C68" s="74"/>
      <c r="D68" s="74"/>
      <c r="E68" s="75"/>
      <c r="F68" s="75" t="e">
        <f t="shared" si="6"/>
        <v>#DIV/0!</v>
      </c>
      <c r="G68" s="75" t="e">
        <f t="shared" si="4"/>
        <v>#DIV/0!</v>
      </c>
      <c r="H68" s="81">
        <f t="shared" si="7"/>
        <v>0</v>
      </c>
      <c r="I68" s="81">
        <f t="shared" si="5"/>
        <v>0</v>
      </c>
      <c r="K68" s="96"/>
    </row>
    <row r="69" spans="1:11" ht="18.75" thickBot="1">
      <c r="A69" s="20" t="s">
        <v>20</v>
      </c>
      <c r="B69" s="41">
        <f>B70+B71</f>
        <v>390.3</v>
      </c>
      <c r="C69" s="41">
        <f>C70+C71</f>
        <v>390.3</v>
      </c>
      <c r="D69" s="42">
        <f>SUM(D70:D71)</f>
        <v>242.39999999999998</v>
      </c>
      <c r="E69" s="30">
        <f>D69/D151*100</f>
        <v>0.015829617933494314</v>
      </c>
      <c r="F69" s="3">
        <f>D69/B69*100</f>
        <v>62.106072252113755</v>
      </c>
      <c r="G69" s="3">
        <f t="shared" si="4"/>
        <v>62.106072252113755</v>
      </c>
      <c r="H69" s="42">
        <f>B69-D69</f>
        <v>147.90000000000003</v>
      </c>
      <c r="I69" s="42">
        <f t="shared" si="5"/>
        <v>147.90000000000003</v>
      </c>
      <c r="K69" s="95"/>
    </row>
    <row r="70" spans="1:9" s="99" customFormat="1" ht="18">
      <c r="A70" s="109" t="s">
        <v>8</v>
      </c>
      <c r="B70" s="137">
        <v>287</v>
      </c>
      <c r="C70" s="138">
        <f>289-2</f>
        <v>287</v>
      </c>
      <c r="D70" s="111">
        <f>19.2+1.5+170.6+1.2+17.7+0.1+11+3+9.5-0.1+2.3-0.1</f>
        <v>235.89999999999998</v>
      </c>
      <c r="E70" s="113">
        <f>D70/D69*100</f>
        <v>97.31848184818482</v>
      </c>
      <c r="F70" s="113">
        <f t="shared" si="6"/>
        <v>82.1951219512195</v>
      </c>
      <c r="G70" s="113">
        <f t="shared" si="4"/>
        <v>82.1951219512195</v>
      </c>
      <c r="H70" s="111">
        <f t="shared" si="7"/>
        <v>51.10000000000002</v>
      </c>
      <c r="I70" s="111">
        <f t="shared" si="5"/>
        <v>51.10000000000002</v>
      </c>
    </row>
    <row r="71" spans="1:9" s="99" customFormat="1" ht="18.75" thickBot="1">
      <c r="A71" s="109" t="s">
        <v>9</v>
      </c>
      <c r="B71" s="137">
        <v>103.3</v>
      </c>
      <c r="C71" s="138">
        <f>267.3-68.6-27.9+0.7-15-6.9-19.6-19.5-7.2</f>
        <v>103.3</v>
      </c>
      <c r="D71" s="111">
        <f>6.5</f>
        <v>6.5</v>
      </c>
      <c r="E71" s="113">
        <f>D71/D70*100</f>
        <v>2.7554048325561684</v>
      </c>
      <c r="F71" s="113">
        <f t="shared" si="6"/>
        <v>6.292352371732818</v>
      </c>
      <c r="G71" s="113">
        <f t="shared" si="4"/>
        <v>6.292352371732818</v>
      </c>
      <c r="H71" s="111">
        <f t="shared" si="7"/>
        <v>96.8</v>
      </c>
      <c r="I71" s="111">
        <f t="shared" si="5"/>
        <v>96.8</v>
      </c>
    </row>
    <row r="72" spans="1:11" ht="36.75" hidden="1" thickBot="1">
      <c r="A72" s="12" t="s">
        <v>42</v>
      </c>
      <c r="B72" s="47"/>
      <c r="C72" s="41">
        <f>C73+C74+C75+C76</f>
        <v>0</v>
      </c>
      <c r="D72" s="41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2">
        <f>B72-D72</f>
        <v>0</v>
      </c>
      <c r="I72" s="42">
        <f t="shared" si="5"/>
        <v>0</v>
      </c>
      <c r="K72" s="95"/>
    </row>
    <row r="73" spans="1:11" ht="18" hidden="1">
      <c r="A73" s="16" t="s">
        <v>46</v>
      </c>
      <c r="B73" s="45"/>
      <c r="C73" s="51"/>
      <c r="D73" s="43"/>
      <c r="E73" s="27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39">
        <f t="shared" si="7"/>
        <v>0</v>
      </c>
      <c r="I73" s="39">
        <f t="shared" si="5"/>
        <v>0</v>
      </c>
      <c r="K73" s="95"/>
    </row>
    <row r="74" spans="1:11" ht="18" hidden="1">
      <c r="A74" s="16" t="s">
        <v>47</v>
      </c>
      <c r="B74" s="45"/>
      <c r="C74" s="51"/>
      <c r="D74" s="43"/>
      <c r="E74" s="27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39">
        <f t="shared" si="7"/>
        <v>0</v>
      </c>
      <c r="I74" s="39">
        <f t="shared" si="5"/>
        <v>0</v>
      </c>
      <c r="K74" s="95"/>
    </row>
    <row r="75" spans="1:11" ht="18" hidden="1">
      <c r="A75" s="22" t="s">
        <v>35</v>
      </c>
      <c r="B75" s="52"/>
      <c r="C75" s="53"/>
      <c r="D75" s="54"/>
      <c r="E75" s="27" t="e">
        <f>D75/D72*100</f>
        <v>#DIV/0!</v>
      </c>
      <c r="F75" s="27"/>
      <c r="G75" s="1" t="e">
        <f t="shared" si="4"/>
        <v>#DIV/0!</v>
      </c>
      <c r="H75" s="39"/>
      <c r="I75" s="39">
        <f t="shared" si="5"/>
        <v>0</v>
      </c>
      <c r="K75" s="95"/>
    </row>
    <row r="76" spans="1:11" ht="18.75" hidden="1" thickBot="1">
      <c r="A76" s="22" t="s">
        <v>43</v>
      </c>
      <c r="B76" s="52"/>
      <c r="C76" s="53"/>
      <c r="D76" s="54"/>
      <c r="E76" s="27" t="e">
        <f>D76/D72*100</f>
        <v>#DIV/0!</v>
      </c>
      <c r="F76" s="27"/>
      <c r="G76" s="1" t="e">
        <f t="shared" si="4"/>
        <v>#DIV/0!</v>
      </c>
      <c r="H76" s="39"/>
      <c r="I76" s="39">
        <f t="shared" si="5"/>
        <v>0</v>
      </c>
      <c r="K76" s="95"/>
    </row>
    <row r="77" spans="1:11" s="32" customFormat="1" ht="18.75" thickBot="1">
      <c r="A77" s="23" t="s">
        <v>13</v>
      </c>
      <c r="B77" s="48">
        <v>912.9</v>
      </c>
      <c r="C77" s="55">
        <f>10000-100-5823.7-1513.4-150-1500</f>
        <v>912.9000000000001</v>
      </c>
      <c r="D77" s="56"/>
      <c r="E77" s="36"/>
      <c r="F77" s="36"/>
      <c r="G77" s="36"/>
      <c r="H77" s="56">
        <f>B77-D77</f>
        <v>912.9</v>
      </c>
      <c r="I77" s="56">
        <f t="shared" si="5"/>
        <v>912.9000000000001</v>
      </c>
      <c r="K77" s="96"/>
    </row>
    <row r="78" spans="1:11" ht="8.25" customHeight="1" thickBot="1">
      <c r="A78" s="16"/>
      <c r="B78" s="45"/>
      <c r="C78" s="53"/>
      <c r="D78" s="54"/>
      <c r="E78" s="6"/>
      <c r="F78" s="6"/>
      <c r="G78" s="6"/>
      <c r="H78" s="54"/>
      <c r="I78" s="88"/>
      <c r="K78" s="95"/>
    </row>
    <row r="79" spans="1:11" ht="18.75" customHeight="1" hidden="1" thickBot="1">
      <c r="A79" s="12" t="s">
        <v>57</v>
      </c>
      <c r="B79" s="47"/>
      <c r="C79" s="41"/>
      <c r="D79" s="41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2">
        <f>B79-D79</f>
        <v>0</v>
      </c>
      <c r="I79" s="42">
        <f aca="true" t="shared" si="9" ref="I79:I93">C79-D79</f>
        <v>0</v>
      </c>
      <c r="K79" s="95"/>
    </row>
    <row r="80" spans="1:11" s="8" customFormat="1" ht="18.75" hidden="1" thickBot="1">
      <c r="A80" s="9" t="s">
        <v>56</v>
      </c>
      <c r="B80" s="57"/>
      <c r="C80" s="38"/>
      <c r="D80" s="39"/>
      <c r="E80" s="73"/>
      <c r="F80" s="1" t="e">
        <f>D80/B80*100</f>
        <v>#DIV/0!</v>
      </c>
      <c r="G80" s="1" t="e">
        <f t="shared" si="8"/>
        <v>#DIV/0!</v>
      </c>
      <c r="H80" s="39">
        <f>B80-D80</f>
        <v>0</v>
      </c>
      <c r="I80" s="39">
        <f t="shared" si="9"/>
        <v>0</v>
      </c>
      <c r="K80" s="97"/>
    </row>
    <row r="81" spans="1:11" s="8" customFormat="1" ht="33" hidden="1" thickBot="1">
      <c r="A81" s="9" t="s">
        <v>54</v>
      </c>
      <c r="B81" s="57"/>
      <c r="C81" s="38"/>
      <c r="D81" s="39"/>
      <c r="E81" s="73"/>
      <c r="F81" s="1" t="e">
        <f>D81/B81*100</f>
        <v>#DIV/0!</v>
      </c>
      <c r="G81" s="1" t="e">
        <f t="shared" si="8"/>
        <v>#DIV/0!</v>
      </c>
      <c r="H81" s="39">
        <f>B81-D81</f>
        <v>0</v>
      </c>
      <c r="I81" s="39">
        <f t="shared" si="9"/>
        <v>0</v>
      </c>
      <c r="K81" s="97"/>
    </row>
    <row r="82" spans="1:11" s="8" customFormat="1" ht="16.5" customHeight="1" hidden="1">
      <c r="A82" s="9" t="s">
        <v>34</v>
      </c>
      <c r="B82" s="57"/>
      <c r="C82" s="38"/>
      <c r="D82" s="39"/>
      <c r="E82" s="1" t="e">
        <f>D82/D79*100</f>
        <v>#DIV/0!</v>
      </c>
      <c r="F82" s="1"/>
      <c r="G82" s="1" t="e">
        <f t="shared" si="8"/>
        <v>#DIV/0!</v>
      </c>
      <c r="H82" s="39"/>
      <c r="I82" s="39">
        <f t="shared" si="9"/>
        <v>0</v>
      </c>
      <c r="K82" s="97"/>
    </row>
    <row r="83" spans="1:11" s="8" customFormat="1" ht="33" customHeight="1" hidden="1" thickBot="1">
      <c r="A83" s="9" t="s">
        <v>40</v>
      </c>
      <c r="B83" s="57"/>
      <c r="C83" s="38"/>
      <c r="D83" s="38"/>
      <c r="E83" s="1" t="e">
        <f>D83/D79*100</f>
        <v>#DIV/0!</v>
      </c>
      <c r="F83" s="1"/>
      <c r="G83" s="1" t="e">
        <f t="shared" si="8"/>
        <v>#DIV/0!</v>
      </c>
      <c r="H83" s="39"/>
      <c r="I83" s="39">
        <f t="shared" si="9"/>
        <v>0</v>
      </c>
      <c r="K83" s="97"/>
    </row>
    <row r="84" spans="1:11" ht="35.25" customHeight="1" hidden="1" thickBot="1">
      <c r="A84" s="12" t="s">
        <v>36</v>
      </c>
      <c r="B84" s="47"/>
      <c r="C84" s="41"/>
      <c r="D84" s="41"/>
      <c r="E84" s="3">
        <f>D84/D151*100</f>
        <v>0</v>
      </c>
      <c r="F84" s="3"/>
      <c r="G84" s="3" t="e">
        <f t="shared" si="8"/>
        <v>#DIV/0!</v>
      </c>
      <c r="H84" s="42"/>
      <c r="I84" s="42">
        <f t="shared" si="9"/>
        <v>0</v>
      </c>
      <c r="K84" s="95"/>
    </row>
    <row r="85" spans="1:11" ht="16.5" customHeight="1" hidden="1">
      <c r="A85" s="21" t="s">
        <v>24</v>
      </c>
      <c r="B85" s="37"/>
      <c r="C85" s="53"/>
      <c r="D85" s="53"/>
      <c r="E85" s="6" t="e">
        <f>D85/D84*100</f>
        <v>#DIV/0!</v>
      </c>
      <c r="F85" s="6"/>
      <c r="G85" s="6" t="e">
        <f t="shared" si="8"/>
        <v>#DIV/0!</v>
      </c>
      <c r="H85" s="54"/>
      <c r="I85" s="39">
        <f t="shared" si="9"/>
        <v>0</v>
      </c>
      <c r="K85" s="95"/>
    </row>
    <row r="86" spans="1:11" ht="16.5" customHeight="1" hidden="1" thickBot="1">
      <c r="A86" s="21" t="s">
        <v>25</v>
      </c>
      <c r="B86" s="37"/>
      <c r="C86" s="53"/>
      <c r="D86" s="53"/>
      <c r="E86" s="6" t="e">
        <f>D86/D84*100</f>
        <v>#DIV/0!</v>
      </c>
      <c r="F86" s="6"/>
      <c r="G86" s="6" t="e">
        <f t="shared" si="8"/>
        <v>#DIV/0!</v>
      </c>
      <c r="H86" s="54"/>
      <c r="I86" s="39">
        <f t="shared" si="9"/>
        <v>0</v>
      </c>
      <c r="K86" s="95"/>
    </row>
    <row r="87" spans="1:11" ht="34.5" customHeight="1" hidden="1" thickBot="1">
      <c r="A87" s="12" t="s">
        <v>37</v>
      </c>
      <c r="B87" s="47"/>
      <c r="C87" s="41"/>
      <c r="D87" s="41"/>
      <c r="E87" s="3">
        <f>D87/D151*100</f>
        <v>0</v>
      </c>
      <c r="F87" s="3"/>
      <c r="G87" s="3" t="e">
        <f t="shared" si="8"/>
        <v>#DIV/0!</v>
      </c>
      <c r="H87" s="42"/>
      <c r="I87" s="42">
        <f t="shared" si="9"/>
        <v>0</v>
      </c>
      <c r="K87" s="95"/>
    </row>
    <row r="88" spans="1:11" ht="17.25" customHeight="1" hidden="1">
      <c r="A88" s="21" t="s">
        <v>24</v>
      </c>
      <c r="B88" s="37"/>
      <c r="C88" s="38"/>
      <c r="D88" s="39"/>
      <c r="E88" s="1" t="e">
        <f>D88/D87*100</f>
        <v>#DIV/0!</v>
      </c>
      <c r="F88" s="1"/>
      <c r="G88" s="1" t="e">
        <f t="shared" si="8"/>
        <v>#DIV/0!</v>
      </c>
      <c r="H88" s="39"/>
      <c r="I88" s="39">
        <f t="shared" si="9"/>
        <v>0</v>
      </c>
      <c r="K88" s="95"/>
    </row>
    <row r="89" spans="1:11" ht="17.25" customHeight="1" hidden="1" thickBot="1">
      <c r="A89" s="21" t="s">
        <v>25</v>
      </c>
      <c r="B89" s="37"/>
      <c r="C89" s="38"/>
      <c r="D89" s="39"/>
      <c r="E89" s="1" t="e">
        <f>D89/D87*100</f>
        <v>#DIV/0!</v>
      </c>
      <c r="F89" s="1"/>
      <c r="G89" s="1" t="e">
        <f t="shared" si="8"/>
        <v>#DIV/0!</v>
      </c>
      <c r="H89" s="39"/>
      <c r="I89" s="39">
        <f t="shared" si="9"/>
        <v>0</v>
      </c>
      <c r="K89" s="95"/>
    </row>
    <row r="90" spans="1:11" ht="18.75" thickBot="1">
      <c r="A90" s="12" t="s">
        <v>10</v>
      </c>
      <c r="B90" s="47">
        <v>144216.87785999998</v>
      </c>
      <c r="C90" s="41">
        <f>157960+265+0.3+29.6-699.4-2295.4+0.1</f>
        <v>155260.2</v>
      </c>
      <c r="D90" s="42">
        <f>4.8+1016.5+864.1+250.6+6.8+2.9+10.6+36.9+1648.7+1618.2+708.6+2+22.6+23.3+36.4+82.9+815.8+1474.1+432.4+54.9+18.9+22+15.6+311.1+1694.5+1935.1+26.3+25.9+120.2+243.3+17.1+315.3+665.2+1876.2+71.1+29.7+42.5+5.2+78+29.4+120.4+583.5+424.3+1056.1+1600.5+1348.3+1.6+115.2+57.4+81.5+104.1+13.4+469.2+2458.4+19.3+11.7+43.2+14.5+11.6+13.1+36.9+2714.6+1411.2+11.1+73.5+89.9+1+1227.5+1388.6+65.7+32.7+7.5+39.6+25.7+4.6+117.3+8+19.8+253.2+5.1+3240+1249.1+6.8+69.3+21.8+23.3+4+47.2+982.2+4710.8+65.4+21.4+40.3+43.9+39+207.9+16+10.2+429.1+6414+3323.9+36.6+8.4+212.3+70.1+36.6+7.2+110.1+1542.8+2778.2+781.7+1+23.8+89.1+38.5+36.8+136.8+51+456.9+2694+5470.1+1854.7+3.9+348+4.4+42+73.8+254.9+57.8+270.2+669.1+287.6+5563.5+160.1+130.8+2.6+114.8+5+9.5+184.3+6.2+2663.5+4422.4+2497.9+92+221.4+152.4+25.7+179.6+108.2+35.8+645.8+4976+101.5+18.1+43.6+85.7+49.1+21.6+2.4+34.9+163.3+8158.5+16.7+21.8+29.4+134+35.1+13.2+25.6+270.8+3864+883.9+27.4+52.7+6.2+88.3+4.5+8.7+38.5+11.6+257+8306.1+947.7+20.4+142.9+6.7+34.3+97.6+166.4+5+4217.5+1358.5</f>
        <v>124119.20000000001</v>
      </c>
      <c r="E90" s="3">
        <f>D90/D151*100</f>
        <v>8.105443540474289</v>
      </c>
      <c r="F90" s="3">
        <f aca="true" t="shared" si="10" ref="F90:F96">D90/B90*100</f>
        <v>86.06426781786942</v>
      </c>
      <c r="G90" s="3">
        <f t="shared" si="8"/>
        <v>79.94270263725024</v>
      </c>
      <c r="H90" s="42">
        <f aca="true" t="shared" si="11" ref="H90:H96">B90-D90</f>
        <v>20097.677859999967</v>
      </c>
      <c r="I90" s="42">
        <f t="shared" si="9"/>
        <v>31141</v>
      </c>
      <c r="J90" s="99"/>
      <c r="K90" s="95"/>
    </row>
    <row r="91" spans="1:9" s="99" customFormat="1" ht="18">
      <c r="A91" s="109" t="s">
        <v>3</v>
      </c>
      <c r="B91" s="137">
        <v>133674.24757</v>
      </c>
      <c r="C91" s="138">
        <f>148246.2-137.7-228.3-64.5-80-812.7-2843.9</f>
        <v>144079.1</v>
      </c>
      <c r="D91" s="111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+2602.2+4307.4+2457.5+10.6+83.4+192.8+95.5+93.2+600.3+4971.7+0.1+4.8+14.4+56+21.6+14.4+8047.8+21.3+17+55.2+259.1+3844.6+856.5+3.1+0.7+74.5+0.2+8228.5+924.9+60.3+16.4+136.2+4202.9+1354</f>
        <v>116674.29999999999</v>
      </c>
      <c r="E91" s="113">
        <f>D91/D90*100</f>
        <v>94.00181438488161</v>
      </c>
      <c r="F91" s="113">
        <f t="shared" si="10"/>
        <v>87.28255600533842</v>
      </c>
      <c r="G91" s="113">
        <f t="shared" si="8"/>
        <v>80.97933704472057</v>
      </c>
      <c r="H91" s="111">
        <f t="shared" si="11"/>
        <v>16999.94757000002</v>
      </c>
      <c r="I91" s="111">
        <f t="shared" si="9"/>
        <v>27404.800000000017</v>
      </c>
    </row>
    <row r="92" spans="1:9" s="99" customFormat="1" ht="18">
      <c r="A92" s="109" t="s">
        <v>26</v>
      </c>
      <c r="B92" s="137">
        <v>2293.188</v>
      </c>
      <c r="C92" s="138">
        <v>2620.6</v>
      </c>
      <c r="D92" s="111">
        <f>48.5+5.1+5+1.3+22.8+67.3+62.7+3.5+1.4+40.6+112.7+571.4+55.5+1.7+2.4+3.1+83.6+0.9+1.4+3.5+0.9+23.5+44.4+1+13.6+0.7+42.8+22.3+44+0.7+4.6+0.7+0.7+13.7+56.1+1.6+31.5+0.9+63.8+4.3+0.9+0.3+18-0.1+60.5+27.6+1.9+44.7</f>
        <v>1620.0000000000002</v>
      </c>
      <c r="E92" s="113">
        <f>D92/D90*100</f>
        <v>1.305196939716015</v>
      </c>
      <c r="F92" s="113">
        <f t="shared" si="10"/>
        <v>70.64401174260463</v>
      </c>
      <c r="G92" s="113">
        <f t="shared" si="8"/>
        <v>61.817904296725956</v>
      </c>
      <c r="H92" s="111">
        <f t="shared" si="11"/>
        <v>673.1879999999999</v>
      </c>
      <c r="I92" s="111">
        <f t="shared" si="9"/>
        <v>1000.5999999999997</v>
      </c>
    </row>
    <row r="93" spans="1:9" s="99" customFormat="1" ht="18" hidden="1">
      <c r="A93" s="109" t="s">
        <v>14</v>
      </c>
      <c r="B93" s="137"/>
      <c r="C93" s="138"/>
      <c r="D93" s="138"/>
      <c r="E93" s="139">
        <f>D93/D90*100</f>
        <v>0</v>
      </c>
      <c r="F93" s="113"/>
      <c r="G93" s="113" t="e">
        <f t="shared" si="8"/>
        <v>#DIV/0!</v>
      </c>
      <c r="H93" s="111">
        <f t="shared" si="11"/>
        <v>0</v>
      </c>
      <c r="I93" s="111">
        <f t="shared" si="9"/>
        <v>0</v>
      </c>
    </row>
    <row r="94" spans="1:9" s="99" customFormat="1" ht="18.75" thickBot="1">
      <c r="A94" s="109" t="s">
        <v>28</v>
      </c>
      <c r="B94" s="138">
        <f>B90-B91-B92-B93</f>
        <v>8249.442289999972</v>
      </c>
      <c r="C94" s="138">
        <f>C90-C91-C92-C93</f>
        <v>8560.500000000005</v>
      </c>
      <c r="D94" s="138">
        <f>D90-D91-D92-D93</f>
        <v>5824.900000000023</v>
      </c>
      <c r="E94" s="113">
        <f>D94/D90*100</f>
        <v>4.692988675402374</v>
      </c>
      <c r="F94" s="113">
        <f t="shared" si="10"/>
        <v>70.60962178086882</v>
      </c>
      <c r="G94" s="113">
        <f>D94/C94*100</f>
        <v>68.04392266806867</v>
      </c>
      <c r="H94" s="111">
        <f t="shared" si="11"/>
        <v>2424.5422899999485</v>
      </c>
      <c r="I94" s="111">
        <f>C94-D94</f>
        <v>2735.599999999982</v>
      </c>
    </row>
    <row r="95" spans="1:11" ht="18">
      <c r="A95" s="84" t="s">
        <v>12</v>
      </c>
      <c r="B95" s="93">
        <v>54462.8</v>
      </c>
      <c r="C95" s="87">
        <f>59880.5+5316.8+172.8+165-3329.3+408.2-3637.6</f>
        <v>58976.4</v>
      </c>
      <c r="D95" s="86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+908.4-0.1+753.9+16.3+68+179.2+270.2+380+2.9+45.6+12.2+203.4+77.7+99.9+42+431.8+206.3+842.6+562.9+543.9+34.3+22+4.8-0.2+57.2+260.6+109.2+497.8+138.3+1146.6+71+271+69.2+1.5</f>
        <v>47854.20000000001</v>
      </c>
      <c r="E95" s="83">
        <f>D95/D151*100</f>
        <v>3.1250565285190746</v>
      </c>
      <c r="F95" s="85">
        <f t="shared" si="10"/>
        <v>87.86584604537411</v>
      </c>
      <c r="G95" s="82">
        <f>D95/C95*100</f>
        <v>81.141270067349</v>
      </c>
      <c r="H95" s="86">
        <f t="shared" si="11"/>
        <v>6608.599999999991</v>
      </c>
      <c r="I95" s="89">
        <f>C95-D95</f>
        <v>11122.19999999999</v>
      </c>
      <c r="K95" s="95"/>
    </row>
    <row r="96" spans="1:9" s="99" customFormat="1" ht="18.75" thickBot="1">
      <c r="A96" s="140" t="s">
        <v>84</v>
      </c>
      <c r="B96" s="141">
        <v>9573.5</v>
      </c>
      <c r="C96" s="142">
        <f>10660.3-133.5+11.8+210.8-0.1</f>
        <v>10749.299999999997</v>
      </c>
      <c r="D96" s="143">
        <f>69.1+1043.7+68.3+1051.8+1+68.3+66.1+938.4+3+68.7+11.3+4.3+734+67.7+6.3+0.4+21.5+2.2+658.8+0.1+17.8+71.8+130.4+525.1+460.8+17+3.6+18.3+567.4+6.6+33.7+842.6+39.7-0.1+76.9+138.3+814.3+78.3+19.7+1.5</f>
        <v>8748.7</v>
      </c>
      <c r="E96" s="144">
        <f>D96/D95*100</f>
        <v>18.2819898775865</v>
      </c>
      <c r="F96" s="145">
        <f t="shared" si="10"/>
        <v>91.3845511046117</v>
      </c>
      <c r="G96" s="146">
        <f>D96/C96*100</f>
        <v>81.38855553384874</v>
      </c>
      <c r="H96" s="147">
        <f t="shared" si="11"/>
        <v>824.7999999999993</v>
      </c>
      <c r="I96" s="136">
        <f>C96-D96</f>
        <v>2000.5999999999967</v>
      </c>
    </row>
    <row r="97" spans="1:11" ht="8.25" customHeight="1" thickBot="1">
      <c r="A97" s="16"/>
      <c r="B97" s="45"/>
      <c r="C97" s="53"/>
      <c r="D97" s="54"/>
      <c r="E97" s="6"/>
      <c r="F97" s="6"/>
      <c r="G97" s="6"/>
      <c r="H97" s="54"/>
      <c r="I97" s="54"/>
      <c r="K97" s="95"/>
    </row>
    <row r="98" spans="1:11" ht="18.75" hidden="1" thickBot="1">
      <c r="A98" s="25" t="s">
        <v>38</v>
      </c>
      <c r="B98" s="61"/>
      <c r="C98" s="62"/>
      <c r="D98" s="63"/>
      <c r="E98" s="3">
        <f>D98/D151*100</f>
        <v>0</v>
      </c>
      <c r="F98" s="3"/>
      <c r="G98" s="3" t="e">
        <f>D98/C98*100</f>
        <v>#DIV/0!</v>
      </c>
      <c r="H98" s="42"/>
      <c r="I98" s="42">
        <f>C98-D98</f>
        <v>0</v>
      </c>
      <c r="K98" s="95"/>
    </row>
    <row r="99" spans="1:11" ht="5.25" customHeight="1" hidden="1" thickBot="1">
      <c r="A99" s="24"/>
      <c r="B99" s="58"/>
      <c r="C99" s="59"/>
      <c r="D99" s="60"/>
      <c r="E99" s="13"/>
      <c r="F99" s="6"/>
      <c r="G99" s="6"/>
      <c r="H99" s="54"/>
      <c r="I99" s="88"/>
      <c r="K99" s="95"/>
    </row>
    <row r="100" spans="1:11" s="14" customFormat="1" ht="36" customHeight="1" hidden="1" thickBot="1">
      <c r="A100" s="12" t="s">
        <v>52</v>
      </c>
      <c r="B100" s="47"/>
      <c r="C100" s="41"/>
      <c r="D100" s="42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2">
        <f>B100-D100</f>
        <v>0</v>
      </c>
      <c r="I100" s="42">
        <f>C100-D100</f>
        <v>0</v>
      </c>
      <c r="K100" s="98"/>
    </row>
    <row r="101" spans="1:11" ht="6.75" customHeight="1" hidden="1" thickBot="1">
      <c r="A101" s="79"/>
      <c r="B101" s="80"/>
      <c r="C101" s="59"/>
      <c r="D101" s="60"/>
      <c r="E101" s="13"/>
      <c r="F101" s="6"/>
      <c r="G101" s="6"/>
      <c r="H101" s="54"/>
      <c r="I101" s="88"/>
      <c r="K101" s="95"/>
    </row>
    <row r="102" spans="1:11" s="32" customFormat="1" ht="18.75" thickBot="1">
      <c r="A102" s="12" t="s">
        <v>11</v>
      </c>
      <c r="B102" s="92">
        <v>9567.4</v>
      </c>
      <c r="C102" s="72">
        <f>12999.2-348+46.7-53.7+124.7-124.6+10.7+5.1+0.1+19.5-3.3-2260.1</f>
        <v>10416.300000000003</v>
      </c>
      <c r="D102" s="67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+33.7+36.7+0.1+31.7+5.4+20.8+1.4+162.2+4.9+13.9+13.7+11.7+85.5+86.8+9+46.7+11.2+55.4+16.2+137.7+25.8+13+5.8+21.2+10+44.3+88.4+15.9+39.3+25+23+133.9+48.3+22+69.3</f>
        <v>7748.299999999994</v>
      </c>
      <c r="E102" s="17">
        <f>D102/D151*100</f>
        <v>0.5059926923848758</v>
      </c>
      <c r="F102" s="17">
        <f>D102/B102*100</f>
        <v>80.98647490436267</v>
      </c>
      <c r="G102" s="17">
        <f aca="true" t="shared" si="12" ref="G102:G149">D102/C102*100</f>
        <v>74.38629839770353</v>
      </c>
      <c r="H102" s="67">
        <f aca="true" t="shared" si="13" ref="H102:H107">B102-D102</f>
        <v>1819.1000000000058</v>
      </c>
      <c r="I102" s="67">
        <f aca="true" t="shared" si="14" ref="I102:I149">C102-D102</f>
        <v>2668.000000000009</v>
      </c>
      <c r="K102" s="96"/>
    </row>
    <row r="103" spans="1:9" s="99" customFormat="1" ht="18.75" customHeight="1">
      <c r="A103" s="109" t="s">
        <v>3</v>
      </c>
      <c r="B103" s="129">
        <v>259.1</v>
      </c>
      <c r="C103" s="130">
        <v>259.1</v>
      </c>
      <c r="D103" s="130">
        <f>17.3+10+11+0.1+10.9+18.9+0.1+11+25.2+18.3+2.4+10.6+13.7+13.9+13.8+13+14.1+22</f>
        <v>226.29999999999998</v>
      </c>
      <c r="E103" s="131">
        <f>D103/D102*100</f>
        <v>2.920640656660173</v>
      </c>
      <c r="F103" s="113">
        <f>D103/B103*100</f>
        <v>87.34079505982245</v>
      </c>
      <c r="G103" s="131">
        <f>D103/C103*100</f>
        <v>87.34079505982245</v>
      </c>
      <c r="H103" s="130">
        <f t="shared" si="13"/>
        <v>32.80000000000004</v>
      </c>
      <c r="I103" s="130">
        <f t="shared" si="14"/>
        <v>32.80000000000004</v>
      </c>
    </row>
    <row r="104" spans="1:9" s="99" customFormat="1" ht="18">
      <c r="A104" s="132" t="s">
        <v>49</v>
      </c>
      <c r="B104" s="110">
        <v>7553.5</v>
      </c>
      <c r="C104" s="111">
        <f>10720.8-348+46.7-56.3+125.1-124.6-51.5+5.1+21.6-3.3-2080.6-0.1</f>
        <v>8254.900000000001</v>
      </c>
      <c r="D104" s="111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+20.8+162.1+4.9+11.7+85.5+19.5+55.4+137.7+25.8+5.8+21.2+10+66.2+10.5+10+23+133.8+48.3+5.3+48.3</f>
        <v>6152.499999999999</v>
      </c>
      <c r="E104" s="113">
        <f>D104/D102*100</f>
        <v>79.40451453867306</v>
      </c>
      <c r="F104" s="113">
        <f aca="true" t="shared" si="15" ref="F104:F149">D104/B104*100</f>
        <v>81.45230687760639</v>
      </c>
      <c r="G104" s="113">
        <f t="shared" si="12"/>
        <v>74.53149038752738</v>
      </c>
      <c r="H104" s="111">
        <f t="shared" si="13"/>
        <v>1401.000000000001</v>
      </c>
      <c r="I104" s="111">
        <f t="shared" si="14"/>
        <v>2102.4000000000024</v>
      </c>
    </row>
    <row r="105" spans="1:9" s="99" customFormat="1" ht="55.5" hidden="1" thickBot="1">
      <c r="A105" s="133" t="s">
        <v>80</v>
      </c>
      <c r="B105" s="134"/>
      <c r="C105" s="134"/>
      <c r="D105" s="134"/>
      <c r="E105" s="135">
        <f>D105/D102*100</f>
        <v>0</v>
      </c>
      <c r="F105" s="135" t="e">
        <f>D105/B105*100</f>
        <v>#DIV/0!</v>
      </c>
      <c r="G105" s="135" t="e">
        <f>D105/C105*100</f>
        <v>#DIV/0!</v>
      </c>
      <c r="H105" s="136">
        <f t="shared" si="13"/>
        <v>0</v>
      </c>
      <c r="I105" s="136">
        <f>C105-D105</f>
        <v>0</v>
      </c>
    </row>
    <row r="106" spans="1:9" s="99" customFormat="1" ht="18.75" thickBot="1">
      <c r="A106" s="133" t="s">
        <v>28</v>
      </c>
      <c r="B106" s="134">
        <f>B102-B103-B104</f>
        <v>1754.7999999999993</v>
      </c>
      <c r="C106" s="134">
        <f>C102-C103-C104</f>
        <v>1902.300000000001</v>
      </c>
      <c r="D106" s="134">
        <f>D102-D103-D104</f>
        <v>1369.4999999999945</v>
      </c>
      <c r="E106" s="135">
        <f>D106/D102*100</f>
        <v>17.674844804666773</v>
      </c>
      <c r="F106" s="135">
        <f t="shared" si="15"/>
        <v>78.04308183268721</v>
      </c>
      <c r="G106" s="135">
        <f t="shared" si="12"/>
        <v>71.99179940072511</v>
      </c>
      <c r="H106" s="136">
        <f>B106-D106</f>
        <v>385.30000000000473</v>
      </c>
      <c r="I106" s="136">
        <f t="shared" si="14"/>
        <v>532.8000000000065</v>
      </c>
    </row>
    <row r="107" spans="1:12" s="2" customFormat="1" ht="26.25" customHeight="1" thickBot="1">
      <c r="A107" s="68" t="s">
        <v>29</v>
      </c>
      <c r="B107" s="69">
        <f>SUM(B108:B148)-B115-B119+B149-B140-B141-B109-B112-B122-B123-B138-B131-B129-B136</f>
        <v>469240.50000000006</v>
      </c>
      <c r="C107" s="69">
        <f>SUM(C108:C148)-C115-C119+C149-C140-C141-C109-C112-C122-C123-C138-C131-C129-C136</f>
        <v>520374.6</v>
      </c>
      <c r="D107" s="69">
        <f>SUM(D108:D148)-D115-D119+D149-D140-D141-D109-D112-D122-D123-D138-D131-D129-D136</f>
        <v>429658.30000000005</v>
      </c>
      <c r="E107" s="70">
        <f>D107/D151*100</f>
        <v>28.058278593047365</v>
      </c>
      <c r="F107" s="70">
        <f>D107/B107*100</f>
        <v>91.56462411066393</v>
      </c>
      <c r="G107" s="70">
        <f t="shared" si="12"/>
        <v>82.56711607369</v>
      </c>
      <c r="H107" s="69">
        <f t="shared" si="13"/>
        <v>39582.20000000001</v>
      </c>
      <c r="I107" s="69">
        <f t="shared" si="14"/>
        <v>90716.29999999993</v>
      </c>
      <c r="L107" s="101"/>
    </row>
    <row r="108" spans="1:12" s="99" customFormat="1" ht="36.75">
      <c r="A108" s="102" t="s">
        <v>53</v>
      </c>
      <c r="B108" s="103">
        <v>3628.9</v>
      </c>
      <c r="C108" s="104">
        <v>4095.6</v>
      </c>
      <c r="D108" s="105">
        <f>12.6+3.2+110.8+149.9+0.1+86+66+19.9+30.9+1.3+4.4+3.9+8.5+1.6+0.1+167.2+12.2+0.7+2+1.4+0.1+115.6+14.7+10.7+8.1+0.6+3.1+4.1+2.8-0.2+122.3+40.3+0.6+1.6+1.5+0.1+131+0.3+1.6+2.9+14.2+140+2+0.9+3.7+15.5+3.2+1.5+3.5+0.3+5+1.2-0.5+123.5+3.6+38.8+0.7+6.4+61.6+58.5+3.9+2.1+5.7+7.3+6.3+1.5+3.2+128.7+13.3+6.1+80.4-0.1</f>
        <v>1886.5000000000005</v>
      </c>
      <c r="E108" s="106">
        <f>D108/D107*100</f>
        <v>0.43906983758954504</v>
      </c>
      <c r="F108" s="106">
        <f t="shared" si="15"/>
        <v>51.985450136404985</v>
      </c>
      <c r="G108" s="106">
        <f t="shared" si="12"/>
        <v>46.06162711202267</v>
      </c>
      <c r="H108" s="107">
        <f aca="true" t="shared" si="16" ref="H108:H149">B108-D108</f>
        <v>1742.3999999999996</v>
      </c>
      <c r="I108" s="107">
        <f t="shared" si="14"/>
        <v>2209.0999999999995</v>
      </c>
      <c r="L108" s="108"/>
    </row>
    <row r="109" spans="1:12" s="99" customFormat="1" ht="18">
      <c r="A109" s="109" t="s">
        <v>26</v>
      </c>
      <c r="B109" s="110">
        <f>2284.3-219.1</f>
        <v>2065.2000000000003</v>
      </c>
      <c r="C109" s="111">
        <f>2633.8-219.1</f>
        <v>2414.7000000000003</v>
      </c>
      <c r="D109" s="112">
        <f>68.3+138.7+47.8+60.9+18.1+30+81.4+40.6+14.7+2.7+31.2+33.2+49.1+0.8+32+30.3+35.6+3.1</f>
        <v>718.5000000000001</v>
      </c>
      <c r="E109" s="113">
        <f>D109/D108*100</f>
        <v>38.08640339252584</v>
      </c>
      <c r="F109" s="113">
        <f t="shared" si="15"/>
        <v>34.79081929110982</v>
      </c>
      <c r="G109" s="113">
        <f t="shared" si="12"/>
        <v>29.75524909926699</v>
      </c>
      <c r="H109" s="111">
        <f t="shared" si="16"/>
        <v>1346.7000000000003</v>
      </c>
      <c r="I109" s="111">
        <f t="shared" si="14"/>
        <v>1696.2000000000003</v>
      </c>
      <c r="L109" s="108"/>
    </row>
    <row r="110" spans="1:12" s="99" customFormat="1" ht="34.5" customHeight="1">
      <c r="A110" s="114" t="s">
        <v>79</v>
      </c>
      <c r="B110" s="115">
        <v>1087.2</v>
      </c>
      <c r="C110" s="107">
        <v>1175.4</v>
      </c>
      <c r="D110" s="105">
        <f>11.8+87.5+28+44.4+7.5+8.9+32.2+39.5+59.2+220.2+6.2+18.8+4.5+75.4+41+129.5</f>
        <v>814.6</v>
      </c>
      <c r="E110" s="106">
        <f>D110/D107*100</f>
        <v>0.18959252038189414</v>
      </c>
      <c r="F110" s="106">
        <f>D110/B110*100</f>
        <v>74.92641648270786</v>
      </c>
      <c r="G110" s="106">
        <f t="shared" si="12"/>
        <v>69.30406670069763</v>
      </c>
      <c r="H110" s="107">
        <f t="shared" si="16"/>
        <v>272.6</v>
      </c>
      <c r="I110" s="107">
        <f t="shared" si="14"/>
        <v>360.80000000000007</v>
      </c>
      <c r="L110" s="108"/>
    </row>
    <row r="111" spans="1:12" s="119" customFormat="1" ht="34.5" customHeight="1">
      <c r="A111" s="114" t="s">
        <v>97</v>
      </c>
      <c r="B111" s="115">
        <v>196.7</v>
      </c>
      <c r="C111" s="116">
        <v>196.7</v>
      </c>
      <c r="D111" s="117"/>
      <c r="E111" s="106">
        <f>D111/D107*100</f>
        <v>0</v>
      </c>
      <c r="F111" s="118">
        <f t="shared" si="15"/>
        <v>0</v>
      </c>
      <c r="G111" s="106">
        <f t="shared" si="12"/>
        <v>0</v>
      </c>
      <c r="H111" s="107">
        <f t="shared" si="16"/>
        <v>196.7</v>
      </c>
      <c r="I111" s="107">
        <f t="shared" si="14"/>
        <v>196.7</v>
      </c>
      <c r="L111" s="108"/>
    </row>
    <row r="112" spans="1:12" s="99" customFormat="1" ht="18" hidden="1">
      <c r="A112" s="109" t="s">
        <v>26</v>
      </c>
      <c r="B112" s="110"/>
      <c r="C112" s="111"/>
      <c r="D112" s="112"/>
      <c r="E112" s="113"/>
      <c r="F112" s="113" t="e">
        <f t="shared" si="15"/>
        <v>#DIV/0!</v>
      </c>
      <c r="G112" s="113" t="e">
        <f t="shared" si="12"/>
        <v>#DIV/0!</v>
      </c>
      <c r="H112" s="111">
        <f t="shared" si="16"/>
        <v>0</v>
      </c>
      <c r="I112" s="111">
        <f t="shared" si="14"/>
        <v>0</v>
      </c>
      <c r="L112" s="108"/>
    </row>
    <row r="113" spans="1:12" s="99" customFormat="1" ht="18">
      <c r="A113" s="114" t="s">
        <v>93</v>
      </c>
      <c r="B113" s="115">
        <v>60</v>
      </c>
      <c r="C113" s="107">
        <v>60</v>
      </c>
      <c r="D113" s="105">
        <f>9.1+9.1+9.8+2.5+3.7+4.2+3.7</f>
        <v>42.10000000000001</v>
      </c>
      <c r="E113" s="106">
        <f>D113/D107*100</f>
        <v>0.009798484051163448</v>
      </c>
      <c r="F113" s="106">
        <f t="shared" si="15"/>
        <v>70.16666666666667</v>
      </c>
      <c r="G113" s="106">
        <f t="shared" si="12"/>
        <v>70.16666666666667</v>
      </c>
      <c r="H113" s="107">
        <f t="shared" si="16"/>
        <v>17.89999999999999</v>
      </c>
      <c r="I113" s="107">
        <f t="shared" si="14"/>
        <v>17.89999999999999</v>
      </c>
      <c r="L113" s="108"/>
    </row>
    <row r="114" spans="1:12" s="99" customFormat="1" ht="36.75">
      <c r="A114" s="114" t="s">
        <v>39</v>
      </c>
      <c r="B114" s="115">
        <v>2739</v>
      </c>
      <c r="C114" s="107">
        <f>2915.4+6.2+77.9</f>
        <v>2999.5</v>
      </c>
      <c r="D114" s="105">
        <f>136.4+40+10+2+0.1+10.6+142+54.3+10.6+6.6+21.9+41.3+8.2+239.5+0.2+6.2+0.7+26.9+145.7+54.9+4+2+1.1+3.5+2.2+195.9+3.8+0.4+0.2+181.5+10+1.7+7.3+203.7+0.2+6.2+185.1+14.5+72+29.1+0.3+192.4+4.9+207.6+0.5+22.4</f>
        <v>2310.6000000000004</v>
      </c>
      <c r="E114" s="106">
        <f>D114/D107*100</f>
        <v>0.5377761816773934</v>
      </c>
      <c r="F114" s="106">
        <f t="shared" si="15"/>
        <v>84.35925520262872</v>
      </c>
      <c r="G114" s="106">
        <f t="shared" si="12"/>
        <v>77.03283880646775</v>
      </c>
      <c r="H114" s="107">
        <f t="shared" si="16"/>
        <v>428.39999999999964</v>
      </c>
      <c r="I114" s="107">
        <f t="shared" si="14"/>
        <v>688.8999999999996</v>
      </c>
      <c r="L114" s="108"/>
    </row>
    <row r="115" spans="1:12" s="99" customFormat="1" ht="18" hidden="1">
      <c r="A115" s="120" t="s">
        <v>44</v>
      </c>
      <c r="B115" s="110"/>
      <c r="C115" s="111"/>
      <c r="D115" s="112"/>
      <c r="E115" s="106"/>
      <c r="F115" s="106" t="e">
        <f t="shared" si="15"/>
        <v>#DIV/0!</v>
      </c>
      <c r="G115" s="113" t="e">
        <f t="shared" si="12"/>
        <v>#DIV/0!</v>
      </c>
      <c r="H115" s="111">
        <f t="shared" si="16"/>
        <v>0</v>
      </c>
      <c r="I115" s="111">
        <f t="shared" si="14"/>
        <v>0</v>
      </c>
      <c r="L115" s="108"/>
    </row>
    <row r="116" spans="1:12" s="119" customFormat="1" ht="18.75" customHeight="1" hidden="1">
      <c r="A116" s="114" t="s">
        <v>94</v>
      </c>
      <c r="B116" s="115"/>
      <c r="C116" s="116"/>
      <c r="D116" s="117"/>
      <c r="E116" s="121">
        <f>D116/D107*100</f>
        <v>0</v>
      </c>
      <c r="F116" s="106" t="e">
        <f t="shared" si="15"/>
        <v>#DIV/0!</v>
      </c>
      <c r="G116" s="121" t="e">
        <f t="shared" si="12"/>
        <v>#DIV/0!</v>
      </c>
      <c r="H116" s="116">
        <f t="shared" si="16"/>
        <v>0</v>
      </c>
      <c r="I116" s="116">
        <f t="shared" si="14"/>
        <v>0</v>
      </c>
      <c r="L116" s="108"/>
    </row>
    <row r="117" spans="1:12" s="99" customFormat="1" ht="36.75">
      <c r="A117" s="114" t="s">
        <v>48</v>
      </c>
      <c r="B117" s="115">
        <f>199-80</f>
        <v>119</v>
      </c>
      <c r="C117" s="107">
        <f>99+100-80</f>
        <v>119</v>
      </c>
      <c r="D117" s="105">
        <f>18</f>
        <v>18</v>
      </c>
      <c r="E117" s="106">
        <f>D117/D107*100</f>
        <v>0.0041893756038228515</v>
      </c>
      <c r="F117" s="106">
        <f>D117/B117*100</f>
        <v>15.126050420168067</v>
      </c>
      <c r="G117" s="106">
        <f t="shared" si="12"/>
        <v>15.126050420168067</v>
      </c>
      <c r="H117" s="107">
        <f t="shared" si="16"/>
        <v>101</v>
      </c>
      <c r="I117" s="107">
        <f t="shared" si="14"/>
        <v>101</v>
      </c>
      <c r="L117" s="108"/>
    </row>
    <row r="118" spans="1:12" s="122" customFormat="1" ht="18">
      <c r="A118" s="114" t="s">
        <v>15</v>
      </c>
      <c r="B118" s="115">
        <v>380</v>
      </c>
      <c r="C118" s="116">
        <v>422.8</v>
      </c>
      <c r="D118" s="105">
        <f>39+5+6.2+39.1+4.9+0.4+0.8+39+0.1+5.5+0.9+39+4.8+1.3+39-0.1+0.8+0.4+5+0.8+5.1+0.2+0.4+2.2+3.5+39+0.4+3+0.8+39+6+0.3-0.1+1.1+39+1.7+0.4+0.8-0.6</f>
        <v>374.1</v>
      </c>
      <c r="E118" s="106">
        <f>D118/D107*100</f>
        <v>0.08706918963278493</v>
      </c>
      <c r="F118" s="106">
        <f t="shared" si="15"/>
        <v>98.44736842105264</v>
      </c>
      <c r="G118" s="106">
        <f t="shared" si="12"/>
        <v>88.48155156102176</v>
      </c>
      <c r="H118" s="107">
        <f t="shared" si="16"/>
        <v>5.899999999999977</v>
      </c>
      <c r="I118" s="107">
        <f t="shared" si="14"/>
        <v>48.69999999999999</v>
      </c>
      <c r="L118" s="108"/>
    </row>
    <row r="119" spans="1:12" s="123" customFormat="1" ht="18">
      <c r="A119" s="120" t="s">
        <v>44</v>
      </c>
      <c r="B119" s="110">
        <v>312.3</v>
      </c>
      <c r="C119" s="111">
        <v>351.4</v>
      </c>
      <c r="D119" s="112">
        <f>39+39.1+39+39.1+39+39+39+39</f>
        <v>312.2</v>
      </c>
      <c r="E119" s="113">
        <f>D119/D118*100</f>
        <v>83.4536220261962</v>
      </c>
      <c r="F119" s="113">
        <f t="shared" si="15"/>
        <v>99.96797950688439</v>
      </c>
      <c r="G119" s="113">
        <f t="shared" si="12"/>
        <v>88.84462151394422</v>
      </c>
      <c r="H119" s="111">
        <f t="shared" si="16"/>
        <v>0.10000000000002274</v>
      </c>
      <c r="I119" s="111">
        <f t="shared" si="14"/>
        <v>39.19999999999999</v>
      </c>
      <c r="L119" s="108"/>
    </row>
    <row r="120" spans="1:12" s="122" customFormat="1" ht="18" hidden="1">
      <c r="A120" s="114" t="s">
        <v>21</v>
      </c>
      <c r="B120" s="115"/>
      <c r="C120" s="116"/>
      <c r="D120" s="105"/>
      <c r="E120" s="106">
        <f>D120/D107*100</f>
        <v>0</v>
      </c>
      <c r="F120" s="106" t="e">
        <f t="shared" si="15"/>
        <v>#DIV/0!</v>
      </c>
      <c r="G120" s="106" t="e">
        <f t="shared" si="12"/>
        <v>#DIV/0!</v>
      </c>
      <c r="H120" s="107">
        <f t="shared" si="16"/>
        <v>0</v>
      </c>
      <c r="I120" s="107">
        <f t="shared" si="14"/>
        <v>0</v>
      </c>
      <c r="L120" s="108"/>
    </row>
    <row r="121" spans="1:12" s="122" customFormat="1" ht="21.75" customHeight="1">
      <c r="A121" s="114" t="s">
        <v>98</v>
      </c>
      <c r="B121" s="115">
        <v>520</v>
      </c>
      <c r="C121" s="116">
        <v>520</v>
      </c>
      <c r="D121" s="117">
        <f>49.4+11+30.6+15.4</f>
        <v>106.4</v>
      </c>
      <c r="E121" s="121">
        <f>D121/D107*100</f>
        <v>0.02476386468037508</v>
      </c>
      <c r="F121" s="106">
        <f t="shared" si="15"/>
        <v>20.46153846153846</v>
      </c>
      <c r="G121" s="106">
        <f t="shared" si="12"/>
        <v>20.46153846153846</v>
      </c>
      <c r="H121" s="107">
        <f t="shared" si="16"/>
        <v>413.6</v>
      </c>
      <c r="I121" s="107">
        <f t="shared" si="14"/>
        <v>413.6</v>
      </c>
      <c r="L121" s="108"/>
    </row>
    <row r="122" spans="1:12" s="125" customFormat="1" ht="18" hidden="1">
      <c r="A122" s="109" t="s">
        <v>81</v>
      </c>
      <c r="B122" s="110"/>
      <c r="C122" s="111"/>
      <c r="D122" s="112"/>
      <c r="E122" s="106"/>
      <c r="F122" s="124" t="e">
        <f>D122/B122*100</f>
        <v>#DIV/0!</v>
      </c>
      <c r="G122" s="113" t="e">
        <f t="shared" si="12"/>
        <v>#DIV/0!</v>
      </c>
      <c r="H122" s="111">
        <f t="shared" si="16"/>
        <v>0</v>
      </c>
      <c r="I122" s="111">
        <f t="shared" si="14"/>
        <v>0</v>
      </c>
      <c r="L122" s="108"/>
    </row>
    <row r="123" spans="1:12" s="125" customFormat="1" ht="18" hidden="1">
      <c r="A123" s="109" t="s">
        <v>50</v>
      </c>
      <c r="B123" s="110"/>
      <c r="C123" s="111"/>
      <c r="D123" s="112"/>
      <c r="E123" s="106"/>
      <c r="F123" s="113" t="e">
        <f>D123/B123*100</f>
        <v>#DIV/0!</v>
      </c>
      <c r="G123" s="113" t="e">
        <f t="shared" si="12"/>
        <v>#DIV/0!</v>
      </c>
      <c r="H123" s="111">
        <f t="shared" si="16"/>
        <v>0</v>
      </c>
      <c r="I123" s="111">
        <f t="shared" si="14"/>
        <v>0</v>
      </c>
      <c r="L123" s="108"/>
    </row>
    <row r="124" spans="1:12" s="122" customFormat="1" ht="36.75">
      <c r="A124" s="114" t="s">
        <v>99</v>
      </c>
      <c r="B124" s="115">
        <v>38352.8</v>
      </c>
      <c r="C124" s="116">
        <f>33585.8+9933.2-1212.8-350-61.4+460.5</f>
        <v>42355.299999999996</v>
      </c>
      <c r="D124" s="117">
        <f>3483.8+2635.6+1853.3+812.9+1333.3+1694.1+1722.4+661.9+934+1328+225+1781.5+1097.2+0.1+1902.6+1343+1822.5+1392+1771.1+3307.3+1386.4+2307.7</f>
        <v>34795.7</v>
      </c>
      <c r="E124" s="121">
        <f>D124/D107*100</f>
        <v>8.098458705441043</v>
      </c>
      <c r="F124" s="106">
        <f t="shared" si="15"/>
        <v>90.72531862080473</v>
      </c>
      <c r="G124" s="106">
        <f t="shared" si="12"/>
        <v>82.15193848231507</v>
      </c>
      <c r="H124" s="107">
        <f t="shared" si="16"/>
        <v>3557.100000000006</v>
      </c>
      <c r="I124" s="107">
        <f t="shared" si="14"/>
        <v>7559.5999999999985</v>
      </c>
      <c r="L124" s="108"/>
    </row>
    <row r="125" spans="1:12" s="122" customFormat="1" ht="18">
      <c r="A125" s="114" t="s">
        <v>95</v>
      </c>
      <c r="B125" s="115">
        <f>695-4.6</f>
        <v>690.4</v>
      </c>
      <c r="C125" s="116">
        <f>585+110-4.6</f>
        <v>690.4</v>
      </c>
      <c r="D125" s="117">
        <f>10+6+64.3</f>
        <v>80.3</v>
      </c>
      <c r="E125" s="121">
        <f>D125/D107*100</f>
        <v>0.018689270054831942</v>
      </c>
      <c r="F125" s="106">
        <f t="shared" si="15"/>
        <v>11.630938586326767</v>
      </c>
      <c r="G125" s="106">
        <f t="shared" si="12"/>
        <v>11.630938586326767</v>
      </c>
      <c r="H125" s="107">
        <f t="shared" si="16"/>
        <v>610.1</v>
      </c>
      <c r="I125" s="107">
        <f t="shared" si="14"/>
        <v>610.1</v>
      </c>
      <c r="L125" s="108"/>
    </row>
    <row r="126" spans="1:12" s="122" customFormat="1" ht="36.75">
      <c r="A126" s="114" t="s">
        <v>104</v>
      </c>
      <c r="B126" s="115">
        <v>200</v>
      </c>
      <c r="C126" s="116">
        <v>200</v>
      </c>
      <c r="D126" s="117"/>
      <c r="E126" s="121">
        <f>D126/D107*100</f>
        <v>0</v>
      </c>
      <c r="F126" s="106">
        <f t="shared" si="15"/>
        <v>0</v>
      </c>
      <c r="G126" s="106">
        <f t="shared" si="12"/>
        <v>0</v>
      </c>
      <c r="H126" s="107">
        <f t="shared" si="16"/>
        <v>200</v>
      </c>
      <c r="I126" s="107">
        <f t="shared" si="14"/>
        <v>200</v>
      </c>
      <c r="L126" s="108"/>
    </row>
    <row r="127" spans="1:12" s="122" customFormat="1" ht="36.75">
      <c r="A127" s="114" t="s">
        <v>86</v>
      </c>
      <c r="B127" s="115">
        <v>81.6</v>
      </c>
      <c r="C127" s="116">
        <v>81.6</v>
      </c>
      <c r="D127" s="117">
        <v>19.7</v>
      </c>
      <c r="E127" s="121">
        <f>D127/D107*100</f>
        <v>0.004585038855295009</v>
      </c>
      <c r="F127" s="106">
        <f t="shared" si="15"/>
        <v>24.142156862745097</v>
      </c>
      <c r="G127" s="106">
        <f t="shared" si="12"/>
        <v>24.142156862745097</v>
      </c>
      <c r="H127" s="107">
        <f t="shared" si="16"/>
        <v>61.89999999999999</v>
      </c>
      <c r="I127" s="107">
        <f t="shared" si="14"/>
        <v>61.89999999999999</v>
      </c>
      <c r="L127" s="108"/>
    </row>
    <row r="128" spans="1:12" s="122" customFormat="1" ht="36.75">
      <c r="A128" s="114" t="s">
        <v>58</v>
      </c>
      <c r="B128" s="115">
        <v>1075.3</v>
      </c>
      <c r="C128" s="116">
        <f>1253.3</f>
        <v>1253.3</v>
      </c>
      <c r="D128" s="117">
        <f>6.5+6.7+0.9+10.2+6.4+2.4+29+2.5+26.7+1.1+7.5+20.9+3.3+0.1+0.6+54.3+6.4+19+6.4-0.2+0.9+1+0.1+24+11.8+60.3+1.8+4+2+10.5+0.5+0.1+1.1+56.8+0.1-0.1+8.7+10.4+6.4+43.4+6.5+23.9+0.2+0.1+0.2+49.2+6.4+42.1+25.3+43.2+0.1+0.1-0.2</f>
        <v>651.6</v>
      </c>
      <c r="E128" s="121">
        <f>D128/D107*100</f>
        <v>0.15165539685838722</v>
      </c>
      <c r="F128" s="106">
        <f t="shared" si="15"/>
        <v>60.59704268576211</v>
      </c>
      <c r="G128" s="106">
        <f t="shared" si="12"/>
        <v>51.99074443469242</v>
      </c>
      <c r="H128" s="107">
        <f t="shared" si="16"/>
        <v>423.69999999999993</v>
      </c>
      <c r="I128" s="107">
        <f t="shared" si="14"/>
        <v>601.6999999999999</v>
      </c>
      <c r="L128" s="108"/>
    </row>
    <row r="129" spans="1:12" s="123" customFormat="1" ht="18">
      <c r="A129" s="109" t="s">
        <v>89</v>
      </c>
      <c r="B129" s="110">
        <v>285.6</v>
      </c>
      <c r="C129" s="111">
        <f>459.6</f>
        <v>459.6</v>
      </c>
      <c r="D129" s="112">
        <f>6.4+6.4+6.4+6.4+6.4+24+6.4+56.8+6.4+6.4+6.5+42.1+6.4+42.1+25.3+25.3</f>
        <v>279.7</v>
      </c>
      <c r="E129" s="113">
        <f>D129/D128*100</f>
        <v>42.92510742786986</v>
      </c>
      <c r="F129" s="113">
        <f>D129/B129*100</f>
        <v>97.93417366946777</v>
      </c>
      <c r="G129" s="113">
        <f t="shared" si="12"/>
        <v>60.85726718885988</v>
      </c>
      <c r="H129" s="111">
        <f t="shared" si="16"/>
        <v>5.900000000000034</v>
      </c>
      <c r="I129" s="111">
        <f t="shared" si="14"/>
        <v>179.90000000000003</v>
      </c>
      <c r="L129" s="108"/>
    </row>
    <row r="130" spans="1:12" s="122" customFormat="1" ht="36.75">
      <c r="A130" s="114" t="s">
        <v>107</v>
      </c>
      <c r="B130" s="115">
        <v>200</v>
      </c>
      <c r="C130" s="116">
        <v>200</v>
      </c>
      <c r="D130" s="117"/>
      <c r="E130" s="121">
        <f>D130/D107*100</f>
        <v>0</v>
      </c>
      <c r="F130" s="118">
        <f t="shared" si="15"/>
        <v>0</v>
      </c>
      <c r="G130" s="106">
        <f t="shared" si="12"/>
        <v>0</v>
      </c>
      <c r="H130" s="107">
        <f t="shared" si="16"/>
        <v>200</v>
      </c>
      <c r="I130" s="107">
        <f t="shared" si="14"/>
        <v>200</v>
      </c>
      <c r="L130" s="108"/>
    </row>
    <row r="131" spans="1:12" s="123" customFormat="1" ht="18" hidden="1">
      <c r="A131" s="120" t="s">
        <v>44</v>
      </c>
      <c r="B131" s="110"/>
      <c r="C131" s="111"/>
      <c r="D131" s="112"/>
      <c r="E131" s="113"/>
      <c r="F131" s="113" t="e">
        <f>D131/B131*100</f>
        <v>#DIV/0!</v>
      </c>
      <c r="G131" s="113" t="e">
        <f t="shared" si="12"/>
        <v>#DIV/0!</v>
      </c>
      <c r="H131" s="111">
        <f t="shared" si="16"/>
        <v>0</v>
      </c>
      <c r="I131" s="111">
        <f t="shared" si="14"/>
        <v>0</v>
      </c>
      <c r="L131" s="108"/>
    </row>
    <row r="132" spans="1:12" s="122" customFormat="1" ht="35.25" customHeight="1">
      <c r="A132" s="114" t="s">
        <v>106</v>
      </c>
      <c r="B132" s="115">
        <v>190</v>
      </c>
      <c r="C132" s="116">
        <v>190</v>
      </c>
      <c r="D132" s="117"/>
      <c r="E132" s="121">
        <f>D132/D107*100</f>
        <v>0</v>
      </c>
      <c r="F132" s="106">
        <f t="shared" si="15"/>
        <v>0</v>
      </c>
      <c r="G132" s="106">
        <f t="shared" si="12"/>
        <v>0</v>
      </c>
      <c r="H132" s="107">
        <f t="shared" si="16"/>
        <v>190</v>
      </c>
      <c r="I132" s="107">
        <f>C132-D132</f>
        <v>190</v>
      </c>
      <c r="L132" s="108"/>
    </row>
    <row r="133" spans="1:12" s="122" customFormat="1" ht="21.75" customHeight="1">
      <c r="A133" s="114" t="s">
        <v>105</v>
      </c>
      <c r="B133" s="115">
        <v>926.2</v>
      </c>
      <c r="C133" s="116">
        <f>1+925.2</f>
        <v>926.2</v>
      </c>
      <c r="D133" s="117">
        <f>926.2</f>
        <v>926.2</v>
      </c>
      <c r="E133" s="121">
        <f>D133/D107*100</f>
        <v>0.21556664912559584</v>
      </c>
      <c r="F133" s="106">
        <f t="shared" si="15"/>
        <v>100</v>
      </c>
      <c r="G133" s="106">
        <f t="shared" si="12"/>
        <v>100</v>
      </c>
      <c r="H133" s="107">
        <f t="shared" si="16"/>
        <v>0</v>
      </c>
      <c r="I133" s="107">
        <f t="shared" si="14"/>
        <v>0</v>
      </c>
      <c r="L133" s="108"/>
    </row>
    <row r="134" spans="1:12" s="122" customFormat="1" ht="35.25" customHeight="1">
      <c r="A134" s="114" t="s">
        <v>88</v>
      </c>
      <c r="B134" s="115">
        <f>90.1+250</f>
        <v>340.1</v>
      </c>
      <c r="C134" s="116">
        <f>108.1+250</f>
        <v>358.1</v>
      </c>
      <c r="D134" s="117">
        <f>3.8+10.3+1.3+2-0.1+1.7+6.8</f>
        <v>25.8</v>
      </c>
      <c r="E134" s="121">
        <f>D134/D107*100</f>
        <v>0.006004771698812753</v>
      </c>
      <c r="F134" s="106">
        <f t="shared" si="15"/>
        <v>7.586004116436341</v>
      </c>
      <c r="G134" s="106">
        <f t="shared" si="12"/>
        <v>7.204691426975705</v>
      </c>
      <c r="H134" s="107">
        <f t="shared" si="16"/>
        <v>314.3</v>
      </c>
      <c r="I134" s="107">
        <f t="shared" si="14"/>
        <v>332.3</v>
      </c>
      <c r="L134" s="108"/>
    </row>
    <row r="135" spans="1:12" s="122" customFormat="1" ht="39" customHeight="1">
      <c r="A135" s="114" t="s">
        <v>55</v>
      </c>
      <c r="B135" s="115">
        <v>310</v>
      </c>
      <c r="C135" s="116">
        <f>626.8-200</f>
        <v>426.79999999999995</v>
      </c>
      <c r="D135" s="117">
        <f>1.2+14.1+4+6.1+23.5+26.4</f>
        <v>75.3</v>
      </c>
      <c r="E135" s="121">
        <f>D135/D107*100</f>
        <v>0.017525554609325592</v>
      </c>
      <c r="F135" s="106">
        <f t="shared" si="15"/>
        <v>24.29032258064516</v>
      </c>
      <c r="G135" s="106">
        <f t="shared" si="12"/>
        <v>17.642924086223054</v>
      </c>
      <c r="H135" s="107">
        <f t="shared" si="16"/>
        <v>234.7</v>
      </c>
      <c r="I135" s="107">
        <f t="shared" si="14"/>
        <v>351.49999999999994</v>
      </c>
      <c r="L135" s="108"/>
    </row>
    <row r="136" spans="1:12" s="123" customFormat="1" ht="18">
      <c r="A136" s="109" t="s">
        <v>89</v>
      </c>
      <c r="B136" s="110">
        <v>207.6</v>
      </c>
      <c r="C136" s="111">
        <f>400-142.4</f>
        <v>257.6</v>
      </c>
      <c r="D136" s="112">
        <f>1.2+4+6.1+23.5+26.4+5</f>
        <v>66.19999999999999</v>
      </c>
      <c r="E136" s="113"/>
      <c r="F136" s="106">
        <f>D136/B136*100</f>
        <v>31.888246628131018</v>
      </c>
      <c r="G136" s="113">
        <f>D136/C136*100</f>
        <v>25.69875776397515</v>
      </c>
      <c r="H136" s="111">
        <f>B136-D136</f>
        <v>141.4</v>
      </c>
      <c r="I136" s="111">
        <f>C136-D136</f>
        <v>191.40000000000003</v>
      </c>
      <c r="L136" s="108"/>
    </row>
    <row r="137" spans="1:12" s="122" customFormat="1" ht="36.75">
      <c r="A137" s="114" t="s">
        <v>85</v>
      </c>
      <c r="B137" s="115">
        <v>348.4</v>
      </c>
      <c r="C137" s="116">
        <v>381.2</v>
      </c>
      <c r="D137" s="117">
        <f>0.5+1.3+15.9+33.5+3+0.6+15.2+1.3+36.5+1.9+0.3+0.3+0.6+5+2+16.5+0.1+0.5+1.2+18.6-0.1+0.3+0.5+0.5+16+2+17.3+2.1+0.4+0.7+25.9+2.2+17.9+2.1+0.8+15.3+2.1+17.5+3.3</f>
        <v>281.6</v>
      </c>
      <c r="E137" s="121">
        <f>D137/D107*100</f>
        <v>0.0655404538909175</v>
      </c>
      <c r="F137" s="106">
        <f>D137/B137*100</f>
        <v>80.82663605051667</v>
      </c>
      <c r="G137" s="106">
        <f>D137/C137*100</f>
        <v>73.87198321091292</v>
      </c>
      <c r="H137" s="107">
        <f t="shared" si="16"/>
        <v>66.79999999999995</v>
      </c>
      <c r="I137" s="107">
        <f t="shared" si="14"/>
        <v>99.59999999999997</v>
      </c>
      <c r="L137" s="108"/>
    </row>
    <row r="138" spans="1:12" s="123" customFormat="1" ht="18">
      <c r="A138" s="109" t="s">
        <v>26</v>
      </c>
      <c r="B138" s="110">
        <v>279.6</v>
      </c>
      <c r="C138" s="111">
        <v>306.1</v>
      </c>
      <c r="D138" s="112">
        <f>15.9+33.5+15.2+36.5+0.3+4.6+16.5-0.1+1.2+16+0.3+16+0.1+16.2+0.3+25.4+16.9+0.3+14.8+17+2.7</f>
        <v>249.60000000000002</v>
      </c>
      <c r="E138" s="113">
        <f>D138/D137*100</f>
        <v>88.63636363636364</v>
      </c>
      <c r="F138" s="113">
        <f t="shared" si="15"/>
        <v>89.27038626609442</v>
      </c>
      <c r="G138" s="113">
        <f>D138/C138*100</f>
        <v>81.54197974518131</v>
      </c>
      <c r="H138" s="111">
        <f t="shared" si="16"/>
        <v>30</v>
      </c>
      <c r="I138" s="111">
        <f t="shared" si="14"/>
        <v>56.5</v>
      </c>
      <c r="L138" s="108"/>
    </row>
    <row r="139" spans="1:12" s="122" customFormat="1" ht="18">
      <c r="A139" s="114" t="s">
        <v>100</v>
      </c>
      <c r="B139" s="115">
        <v>1403.7</v>
      </c>
      <c r="C139" s="116">
        <f>1397.4+115.2</f>
        <v>1512.6000000000001</v>
      </c>
      <c r="D139" s="117">
        <f>26+59.9+0.4-0.1+0.1+27.3+5.8+57.7+6.3+46.3+13.6+50.5+6-0.1+43.3+3.1+0.2+52.2+16.7+42.4+4.7+8+55+5.3+39.2+0.5+5+82.1+95.1+0.2+73.5+79.4+74.3-0.2+13.8+17.8+27+18+79.9+50.5+8.2+5.3+54+49.6</f>
        <v>1303.7999999999997</v>
      </c>
      <c r="E139" s="121">
        <f>D139/D107*100</f>
        <v>0.30345043957023515</v>
      </c>
      <c r="F139" s="106">
        <f t="shared" si="15"/>
        <v>92.88309467835005</v>
      </c>
      <c r="G139" s="106">
        <f t="shared" si="12"/>
        <v>86.19595398651326</v>
      </c>
      <c r="H139" s="107">
        <f t="shared" si="16"/>
        <v>99.90000000000032</v>
      </c>
      <c r="I139" s="107">
        <f t="shared" si="14"/>
        <v>208.8000000000004</v>
      </c>
      <c r="L139" s="108"/>
    </row>
    <row r="140" spans="1:12" s="123" customFormat="1" ht="18">
      <c r="A140" s="120" t="s">
        <v>44</v>
      </c>
      <c r="B140" s="110">
        <v>1089.2</v>
      </c>
      <c r="C140" s="111">
        <f>1063.5+115.2</f>
        <v>1178.7</v>
      </c>
      <c r="D140" s="112">
        <f>26+59.9+27.3+57.1-0.1+46.3+42.7-0.1+36.4+51.8+8.5+28+53.1+4.3+35.3+82.1+45.8+73.5+42.3+73.9-0.1+13.8+27+76+32.8+8.2+49+34.3</f>
        <v>1035.1</v>
      </c>
      <c r="E140" s="113">
        <f>D140/D139*100</f>
        <v>79.391010891241</v>
      </c>
      <c r="F140" s="113">
        <f aca="true" t="shared" si="17" ref="F140:F148">D140/B140*100</f>
        <v>95.03305178112375</v>
      </c>
      <c r="G140" s="113">
        <f t="shared" si="12"/>
        <v>87.81708662085347</v>
      </c>
      <c r="H140" s="111">
        <f t="shared" si="16"/>
        <v>54.100000000000136</v>
      </c>
      <c r="I140" s="111">
        <f t="shared" si="14"/>
        <v>143.60000000000014</v>
      </c>
      <c r="L140" s="108"/>
    </row>
    <row r="141" spans="1:12" s="123" customFormat="1" ht="18">
      <c r="A141" s="109" t="s">
        <v>26</v>
      </c>
      <c r="B141" s="110">
        <v>33</v>
      </c>
      <c r="C141" s="111">
        <v>37.5</v>
      </c>
      <c r="D141" s="112">
        <f>0.4+5.6+0.6+6+0.1+3.7+0.1+0.4+1+0.3+0.3+0.3+0.2-0.1+0.3+0.4+1.3</f>
        <v>20.9</v>
      </c>
      <c r="E141" s="113">
        <f>D141/D139*100</f>
        <v>1.6030065961036972</v>
      </c>
      <c r="F141" s="113">
        <f t="shared" si="17"/>
        <v>63.33333333333333</v>
      </c>
      <c r="G141" s="113">
        <f>D141/C141*100</f>
        <v>55.733333333333334</v>
      </c>
      <c r="H141" s="111">
        <f t="shared" si="16"/>
        <v>12.100000000000001</v>
      </c>
      <c r="I141" s="111">
        <f t="shared" si="14"/>
        <v>16.6</v>
      </c>
      <c r="L141" s="108"/>
    </row>
    <row r="142" spans="1:12" s="122" customFormat="1" ht="33.75" customHeight="1">
      <c r="A142" s="126" t="s">
        <v>57</v>
      </c>
      <c r="B142" s="115">
        <v>896</v>
      </c>
      <c r="C142" s="116">
        <f>200+300+1250+175-1001</f>
        <v>924</v>
      </c>
      <c r="D142" s="117">
        <f>300+200+174+176.9</f>
        <v>850.9</v>
      </c>
      <c r="E142" s="121">
        <f>D142/D107*100</f>
        <v>0.19804109451627022</v>
      </c>
      <c r="F142" s="106">
        <f t="shared" si="17"/>
        <v>94.96651785714285</v>
      </c>
      <c r="G142" s="106">
        <f t="shared" si="12"/>
        <v>92.08874458874459</v>
      </c>
      <c r="H142" s="107">
        <f t="shared" si="16"/>
        <v>45.10000000000002</v>
      </c>
      <c r="I142" s="107">
        <f t="shared" si="14"/>
        <v>73.10000000000002</v>
      </c>
      <c r="L142" s="108"/>
    </row>
    <row r="143" spans="1:12" s="122" customFormat="1" ht="18" hidden="1">
      <c r="A143" s="126" t="s">
        <v>96</v>
      </c>
      <c r="B143" s="115"/>
      <c r="C143" s="116"/>
      <c r="D143" s="117"/>
      <c r="E143" s="121">
        <f>D143/D107*100</f>
        <v>0</v>
      </c>
      <c r="F143" s="106" t="e">
        <f>D143/B143*100</f>
        <v>#DIV/0!</v>
      </c>
      <c r="G143" s="106" t="e">
        <f t="shared" si="12"/>
        <v>#DIV/0!</v>
      </c>
      <c r="H143" s="107">
        <f t="shared" si="16"/>
        <v>0</v>
      </c>
      <c r="I143" s="107">
        <f t="shared" si="14"/>
        <v>0</v>
      </c>
      <c r="L143" s="108"/>
    </row>
    <row r="144" spans="1:12" s="122" customFormat="1" ht="18">
      <c r="A144" s="126" t="s">
        <v>101</v>
      </c>
      <c r="B144" s="115">
        <v>49072.6</v>
      </c>
      <c r="C144" s="116">
        <f>67967+150-2500-1878-220-5896.7+475+3501.1</f>
        <v>61598.4</v>
      </c>
      <c r="D144" s="117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+1049.5+504.2+1053+1276.6+101.5+139.1+125.7+123.1+93.4+409.7+2609.8+3+32.4-206.3+452.9+1526.7+153.6+187.5+801.6+3794.2+446.7+16.6</f>
        <v>39536.89999999999</v>
      </c>
      <c r="E144" s="121">
        <f>D144/D107*100</f>
        <v>9.20194023948798</v>
      </c>
      <c r="F144" s="106">
        <f t="shared" si="17"/>
        <v>80.56817857623193</v>
      </c>
      <c r="G144" s="106">
        <f t="shared" si="12"/>
        <v>64.18494636224315</v>
      </c>
      <c r="H144" s="107">
        <f t="shared" si="16"/>
        <v>9535.700000000012</v>
      </c>
      <c r="I144" s="107">
        <f t="shared" si="14"/>
        <v>22061.500000000015</v>
      </c>
      <c r="L144" s="108"/>
    </row>
    <row r="145" spans="1:12" s="122" customFormat="1" ht="18" hidden="1">
      <c r="A145" s="126" t="s">
        <v>87</v>
      </c>
      <c r="B145" s="115"/>
      <c r="C145" s="116"/>
      <c r="D145" s="117"/>
      <c r="E145" s="121">
        <f>D145/D107*100</f>
        <v>0</v>
      </c>
      <c r="F145" s="106" t="e">
        <f t="shared" si="17"/>
        <v>#DIV/0!</v>
      </c>
      <c r="G145" s="106" t="e">
        <f t="shared" si="12"/>
        <v>#DIV/0!</v>
      </c>
      <c r="H145" s="107">
        <f t="shared" si="16"/>
        <v>0</v>
      </c>
      <c r="I145" s="107">
        <f t="shared" si="14"/>
        <v>0</v>
      </c>
      <c r="L145" s="108"/>
    </row>
    <row r="146" spans="1:12" s="122" customFormat="1" ht="18">
      <c r="A146" s="114" t="s">
        <v>102</v>
      </c>
      <c r="B146" s="115">
        <v>182.1</v>
      </c>
      <c r="C146" s="116">
        <v>234</v>
      </c>
      <c r="D146" s="117">
        <f>19.2+57.2+56</f>
        <v>132.4</v>
      </c>
      <c r="E146" s="121">
        <f>D146/D107*100</f>
        <v>0.030815184997008086</v>
      </c>
      <c r="F146" s="106">
        <f t="shared" si="17"/>
        <v>72.7073036792971</v>
      </c>
      <c r="G146" s="106">
        <f t="shared" si="12"/>
        <v>56.58119658119658</v>
      </c>
      <c r="H146" s="107">
        <f t="shared" si="16"/>
        <v>49.69999999999999</v>
      </c>
      <c r="I146" s="107">
        <f t="shared" si="14"/>
        <v>101.6</v>
      </c>
      <c r="K146" s="108"/>
      <c r="L146" s="108"/>
    </row>
    <row r="147" spans="1:12" s="122" customFormat="1" ht="18.75" customHeight="1">
      <c r="A147" s="114" t="s">
        <v>78</v>
      </c>
      <c r="B147" s="115">
        <f>9142.1+905.3</f>
        <v>10047.4</v>
      </c>
      <c r="C147" s="116">
        <v>10550.8</v>
      </c>
      <c r="D147" s="117">
        <f>1601.8+39.7+92.5+565.2+121.3+853.6+638.8+424+800.9+24.5+1.5+318.7+33.7+748.2+470.6+626.9+12.3+30.7-0.1+883.3+49.6+651.7+21.2+772.1</f>
        <v>9782.7</v>
      </c>
      <c r="E147" s="121">
        <f>D147/D107*100</f>
        <v>2.2768558177509894</v>
      </c>
      <c r="F147" s="106">
        <f t="shared" si="17"/>
        <v>97.36548758882896</v>
      </c>
      <c r="G147" s="106">
        <f t="shared" si="12"/>
        <v>92.71998331880049</v>
      </c>
      <c r="H147" s="107">
        <f t="shared" si="16"/>
        <v>264.6999999999989</v>
      </c>
      <c r="I147" s="107">
        <f t="shared" si="14"/>
        <v>768.0999999999985</v>
      </c>
      <c r="K147" s="127"/>
      <c r="L147" s="108"/>
    </row>
    <row r="148" spans="1:12" s="122" customFormat="1" ht="19.5" customHeight="1">
      <c r="A148" s="158" t="s">
        <v>51</v>
      </c>
      <c r="B148" s="159">
        <v>329165</v>
      </c>
      <c r="C148" s="160">
        <f>376354.8-1000+14285.9-198-200-300-15786.4-2950-2519.8+7938.3-13756.7+0.7+204.9-2656</f>
        <v>359417.7</v>
      </c>
      <c r="D148" s="161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+2251.7+8852.6+204.9+7853.7+1191.2+1363.7+1934+6288.3+1861.2+2038.1+69.6+2351.7+1815.8+1186.3+2291.2+574.5-204.9+450.3+17.9+401.5+897.7+5.1+197.4+617.7+2447.4+914+459+3280.8+2697.1+3354.1+922.4+1022.2+500.7+333.8+1385.8+1703.5+4841.4+1532.3+2049.1+10846.2+4149.5+446+3267.4+2209.3+6166.4+5954.9+802.6+206.7+48.4</f>
        <v>310253.1000000001</v>
      </c>
      <c r="E148" s="162">
        <f>D148/D107*100</f>
        <v>72.2092648972451</v>
      </c>
      <c r="F148" s="163">
        <f t="shared" si="17"/>
        <v>94.25458356751176</v>
      </c>
      <c r="G148" s="163">
        <f t="shared" si="12"/>
        <v>86.32104095040397</v>
      </c>
      <c r="H148" s="164">
        <f t="shared" si="16"/>
        <v>18911.899999999907</v>
      </c>
      <c r="I148" s="164">
        <f t="shared" si="14"/>
        <v>49164.59999999992</v>
      </c>
      <c r="K148" s="128"/>
      <c r="L148" s="108"/>
    </row>
    <row r="149" spans="1:12" s="122" customFormat="1" ht="18">
      <c r="A149" s="114" t="s">
        <v>103</v>
      </c>
      <c r="B149" s="115">
        <v>27028.1</v>
      </c>
      <c r="C149" s="116">
        <v>29485.2</v>
      </c>
      <c r="D149" s="117">
        <f>819+819+819.1+819+819+819.1+819+819+819.1+819+819+819.1+819.1+819+819+819+819.1+819+819+819+819.1+819+819+819.1+819+819+819.1+819+819+819.1+819</f>
        <v>25389.999999999996</v>
      </c>
      <c r="E149" s="121">
        <f>D149/D107*100</f>
        <v>5.909347032281232</v>
      </c>
      <c r="F149" s="106">
        <f t="shared" si="15"/>
        <v>93.93927061095674</v>
      </c>
      <c r="G149" s="106">
        <f t="shared" si="12"/>
        <v>86.11099806004367</v>
      </c>
      <c r="H149" s="107">
        <f t="shared" si="16"/>
        <v>1638.1000000000022</v>
      </c>
      <c r="I149" s="107">
        <f t="shared" si="14"/>
        <v>4095.2000000000044</v>
      </c>
      <c r="K149" s="127"/>
      <c r="L149" s="108"/>
    </row>
    <row r="150" spans="1:12" s="2" customFormat="1" ht="18.75" thickBot="1">
      <c r="A150" s="29" t="s">
        <v>30</v>
      </c>
      <c r="B150" s="65">
        <f>B43+B69+B72+B77+B79+B87+B102+B107+B100+B84+B98</f>
        <v>482287.10000000003</v>
      </c>
      <c r="C150" s="65">
        <f>C43+C69+C72+C77+C79+C87+C102+C107+C100+C84+C98</f>
        <v>534331.1</v>
      </c>
      <c r="D150" s="46">
        <f>D43+D69+D72+D77+D79+D87+D102+D107+D100+D84+D98</f>
        <v>439093.30000000005</v>
      </c>
      <c r="E150" s="15"/>
      <c r="F150" s="15"/>
      <c r="G150" s="6"/>
      <c r="H150" s="54"/>
      <c r="I150" s="46"/>
      <c r="K150" s="33"/>
      <c r="L150" s="33"/>
    </row>
    <row r="151" spans="1:12" ht="18.75" thickBot="1">
      <c r="A151" s="12" t="s">
        <v>18</v>
      </c>
      <c r="B151" s="42">
        <f>B6+B18+B33+B43+B51+B59+B69+B72+B77+B79+B87+B90+B95+B102+B107+B100+B84+B98+B45</f>
        <v>1713519.7191499998</v>
      </c>
      <c r="C151" s="42">
        <f>C6+C18+C33+C43+C51+C59+C69+C72+C77+C79+C87+C90+C95+C102+C107+C100+C84+C98+C45</f>
        <v>1878900.9999999995</v>
      </c>
      <c r="D151" s="42">
        <f>D6+D18+D33+D43+D51+D59+D69+D72+D77+D79+D87+D90+D95+D102+D107+D100+D84+D98+D45</f>
        <v>1531306.7000000002</v>
      </c>
      <c r="E151" s="28">
        <v>100</v>
      </c>
      <c r="F151" s="3">
        <f>D151/B151*100</f>
        <v>89.36615569032452</v>
      </c>
      <c r="G151" s="3">
        <f aca="true" t="shared" si="18" ref="G151:G157">D151/C151*100</f>
        <v>81.50012693590566</v>
      </c>
      <c r="H151" s="42">
        <f aca="true" t="shared" si="19" ref="H151:H157">B151-D151</f>
        <v>182213.0191499996</v>
      </c>
      <c r="I151" s="42">
        <f aca="true" t="shared" si="20" ref="I151:I157">C151-D151</f>
        <v>347594.29999999935</v>
      </c>
      <c r="K151" s="34"/>
      <c r="L151" s="35"/>
    </row>
    <row r="152" spans="1:12" ht="18">
      <c r="A152" s="16" t="s">
        <v>5</v>
      </c>
      <c r="B152" s="53">
        <f>B8+B20+B34+B52+B60+B91+B115+B119+B46+B140+B131+B103</f>
        <v>674402.36529</v>
      </c>
      <c r="C152" s="53">
        <f>C8+C20+C34+C52+C60+C91+C115+C119+C46+C140+C131+C103</f>
        <v>735951.9999999999</v>
      </c>
      <c r="D152" s="53">
        <f>D8+D20+D34+D52+D60+D91+D115+D119+D46+D140+D131+D103</f>
        <v>605010.7999999998</v>
      </c>
      <c r="E152" s="6">
        <f>D152/D151*100</f>
        <v>39.50944640939661</v>
      </c>
      <c r="F152" s="6">
        <f aca="true" t="shared" si="21" ref="F152:F157">D152/B152*100</f>
        <v>89.71065807870335</v>
      </c>
      <c r="G152" s="6">
        <f t="shared" si="18"/>
        <v>82.20791573363479</v>
      </c>
      <c r="H152" s="54">
        <f t="shared" si="19"/>
        <v>69391.56529000017</v>
      </c>
      <c r="I152" s="64">
        <f t="shared" si="20"/>
        <v>130941.20000000007</v>
      </c>
      <c r="K152" s="34"/>
      <c r="L152" s="35"/>
    </row>
    <row r="153" spans="1:12" ht="18">
      <c r="A153" s="16" t="s">
        <v>0</v>
      </c>
      <c r="B153" s="54">
        <f>B11+B23+B36+B55+B62+B92+B49+B141+B109+B112+B96+B138</f>
        <v>84093.63986000001</v>
      </c>
      <c r="C153" s="54">
        <f>C11+C23+C36+C55+C62+C92+C49+C141+C109+C112+C96+C138</f>
        <v>98268.7</v>
      </c>
      <c r="D153" s="54">
        <f>D11+D23+D36+D55+D62+D92+D49+D141+D109+D112+D96+D138</f>
        <v>66055.9</v>
      </c>
      <c r="E153" s="6">
        <f>D153/D151*100</f>
        <v>4.313694963915458</v>
      </c>
      <c r="F153" s="6">
        <f t="shared" si="21"/>
        <v>78.5504113152559</v>
      </c>
      <c r="G153" s="6">
        <f t="shared" si="18"/>
        <v>67.21967421976683</v>
      </c>
      <c r="H153" s="54">
        <f t="shared" si="19"/>
        <v>18037.739860000016</v>
      </c>
      <c r="I153" s="64">
        <f t="shared" si="20"/>
        <v>32212.800000000003</v>
      </c>
      <c r="K153" s="34"/>
      <c r="L153" s="71"/>
    </row>
    <row r="154" spans="1:12" ht="18">
      <c r="A154" s="16" t="s">
        <v>1</v>
      </c>
      <c r="B154" s="53">
        <f>B22+B10+B54+B48+B61+B35+B123</f>
        <v>30244.552</v>
      </c>
      <c r="C154" s="53">
        <f>C22+C10+C54+C48+C61+C35+C123</f>
        <v>31719.100000000002</v>
      </c>
      <c r="D154" s="53">
        <f>D22+D10+D54+D48+D61+D35+D123</f>
        <v>27852</v>
      </c>
      <c r="E154" s="6">
        <f>D154/D151*100</f>
        <v>1.8188387734475397</v>
      </c>
      <c r="F154" s="6">
        <f t="shared" si="21"/>
        <v>92.08931248179837</v>
      </c>
      <c r="G154" s="6">
        <f t="shared" si="18"/>
        <v>87.80829216465789</v>
      </c>
      <c r="H154" s="54">
        <f t="shared" si="19"/>
        <v>2392.5519999999997</v>
      </c>
      <c r="I154" s="64">
        <f t="shared" si="20"/>
        <v>3867.100000000002</v>
      </c>
      <c r="K154" s="34"/>
      <c r="L154" s="35"/>
    </row>
    <row r="155" spans="1:12" ht="21" customHeight="1">
      <c r="A155" s="16" t="s">
        <v>14</v>
      </c>
      <c r="B155" s="53">
        <f>B12+B24+B104+B63+B38+B93+B129+B56+B136</f>
        <v>21955.104</v>
      </c>
      <c r="C155" s="53">
        <f>C12+C24+C104+C63+C38+C93+C129+C56+C136</f>
        <v>24304.6</v>
      </c>
      <c r="D155" s="53">
        <f>D12+D24+D104+D63+D38+D93+D129+D56+D136</f>
        <v>17955.299999999996</v>
      </c>
      <c r="E155" s="6">
        <f>D155/D151*100</f>
        <v>1.1725476026455048</v>
      </c>
      <c r="F155" s="6">
        <f t="shared" si="21"/>
        <v>81.78189454260838</v>
      </c>
      <c r="G155" s="6">
        <f t="shared" si="18"/>
        <v>73.87613867333755</v>
      </c>
      <c r="H155" s="54">
        <f>B155-D155</f>
        <v>3999.8040000000037</v>
      </c>
      <c r="I155" s="64">
        <f t="shared" si="20"/>
        <v>6349.300000000003</v>
      </c>
      <c r="K155" s="34"/>
      <c r="L155" s="71"/>
    </row>
    <row r="156" spans="1:12" ht="18">
      <c r="A156" s="16" t="s">
        <v>2</v>
      </c>
      <c r="B156" s="53">
        <f>B9+B21+B47+B53+B122</f>
        <v>101.42999999999999</v>
      </c>
      <c r="C156" s="53">
        <f>C9+C21+C47+C53+C122</f>
        <v>105.7</v>
      </c>
      <c r="D156" s="53">
        <f>D9+D21+D47+D53+D122</f>
        <v>56.9</v>
      </c>
      <c r="E156" s="6">
        <f>D156/D151*100</f>
        <v>0.003715780777293013</v>
      </c>
      <c r="F156" s="6">
        <f t="shared" si="21"/>
        <v>56.09780143941635</v>
      </c>
      <c r="G156" s="6">
        <f t="shared" si="18"/>
        <v>53.83159886471145</v>
      </c>
      <c r="H156" s="54">
        <f t="shared" si="19"/>
        <v>44.529999999999994</v>
      </c>
      <c r="I156" s="64">
        <f t="shared" si="20"/>
        <v>48.800000000000004</v>
      </c>
      <c r="K156" s="34"/>
      <c r="L156" s="35"/>
    </row>
    <row r="157" spans="1:12" ht="18.75" thickBot="1">
      <c r="A157" s="90" t="s">
        <v>28</v>
      </c>
      <c r="B157" s="66">
        <f>B151-B152-B153-B154-B155-B156</f>
        <v>902722.6279999997</v>
      </c>
      <c r="C157" s="66">
        <f>C151-C152-C153-C154-C155-C156</f>
        <v>988550.8999999997</v>
      </c>
      <c r="D157" s="66">
        <f>D151-D152-D153-D154-D155-D156</f>
        <v>814375.8000000003</v>
      </c>
      <c r="E157" s="31">
        <f>D157/D151*100</f>
        <v>53.181756469817586</v>
      </c>
      <c r="F157" s="31">
        <f t="shared" si="21"/>
        <v>90.21329196148173</v>
      </c>
      <c r="G157" s="31">
        <f t="shared" si="18"/>
        <v>82.38076562370239</v>
      </c>
      <c r="H157" s="91">
        <f t="shared" si="19"/>
        <v>88346.8279999994</v>
      </c>
      <c r="I157" s="91">
        <f t="shared" si="20"/>
        <v>174175.0999999994</v>
      </c>
      <c r="K157" s="34"/>
      <c r="L157" s="71"/>
    </row>
    <row r="158" spans="7:8" ht="12.75">
      <c r="G158" s="18"/>
      <c r="H158" s="18"/>
    </row>
    <row r="159" spans="7:11" ht="12.75">
      <c r="G159" s="18"/>
      <c r="H159" s="18"/>
      <c r="I159" s="18"/>
      <c r="K159" s="100"/>
    </row>
    <row r="160" spans="7:11" ht="12.75">
      <c r="G160" s="18"/>
      <c r="H160" s="18"/>
      <c r="K160" s="100"/>
    </row>
    <row r="161" spans="7:11" ht="12.75">
      <c r="G161" s="18"/>
      <c r="H161" s="18"/>
      <c r="K161" s="100"/>
    </row>
    <row r="162" spans="7:8" ht="12.75">
      <c r="G162" s="18"/>
      <c r="H162" s="18"/>
    </row>
    <row r="163" spans="7:8" ht="12.75">
      <c r="G163" s="18"/>
      <c r="H163" s="18"/>
    </row>
    <row r="164" spans="2:8" ht="12.75">
      <c r="B164" s="94"/>
      <c r="C164" s="94"/>
      <c r="D164" s="94"/>
      <c r="G164" s="18"/>
      <c r="H164" s="18"/>
    </row>
    <row r="165" spans="7:8" ht="12.75">
      <c r="G165" s="18"/>
      <c r="H165" s="18"/>
    </row>
    <row r="166" spans="7:8" ht="12.75">
      <c r="G166" s="18"/>
      <c r="H166" s="18"/>
    </row>
    <row r="167" spans="7:8" ht="12.75"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1878900.9999999995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1531306.7000000002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1878900.9999999995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1531306.7000000002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2017-11-13T13:42:52Z</cp:lastPrinted>
  <dcterms:created xsi:type="dcterms:W3CDTF">2000-06-20T04:48:00Z</dcterms:created>
  <dcterms:modified xsi:type="dcterms:W3CDTF">2017-11-15T05:47:36Z</dcterms:modified>
  <cp:category/>
  <cp:version/>
  <cp:contentType/>
  <cp:contentStatus/>
</cp:coreProperties>
</file>